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9000" yWindow="360" windowWidth="10275" windowHeight="11640" activeTab="2"/>
  </bookViews>
  <sheets>
    <sheet name="2021 год" sheetId="1" r:id="rId1"/>
    <sheet name="2022 год" sheetId="2" r:id="rId2"/>
    <sheet name="2023" sheetId="3" r:id="rId3"/>
  </sheets>
  <definedNames>
    <definedName name="_xlnm.Print_Area" localSheetId="0">'2021 год'!$A$1:$T$37</definedName>
    <definedName name="_xlnm.Print_Area" localSheetId="1">'2022 год'!$A$1:$T$37</definedName>
    <definedName name="_xlnm.Print_Area" localSheetId="2">'2023'!$A$1:$T$37</definedName>
  </definedNames>
  <calcPr calcId="145621"/>
</workbook>
</file>

<file path=xl/calcChain.xml><?xml version="1.0" encoding="utf-8"?>
<calcChain xmlns="http://schemas.openxmlformats.org/spreadsheetml/2006/main">
  <c r="M24" i="2" l="1"/>
  <c r="C16" i="2"/>
  <c r="C16" i="3" s="1"/>
  <c r="C17" i="2"/>
  <c r="C17" i="3" s="1"/>
  <c r="C18" i="2"/>
  <c r="C18" i="3" s="1"/>
  <c r="C19" i="2"/>
  <c r="C19" i="3" s="1"/>
  <c r="C20" i="2"/>
  <c r="C20" i="3" s="1"/>
  <c r="C21" i="2"/>
  <c r="C21" i="3" s="1"/>
  <c r="C22" i="2"/>
  <c r="C22" i="3" s="1"/>
  <c r="C23" i="2"/>
  <c r="C23" i="3" s="1"/>
  <c r="C25" i="2"/>
  <c r="C25" i="3" s="1"/>
  <c r="C26" i="2"/>
  <c r="C26" i="3" s="1"/>
  <c r="C27" i="2"/>
  <c r="C27" i="3" s="1"/>
  <c r="C15" i="2"/>
  <c r="C15" i="3" s="1"/>
  <c r="L26" i="3"/>
  <c r="M24" i="3" s="1"/>
  <c r="D26" i="3"/>
  <c r="I26" i="3" s="1"/>
  <c r="T24" i="3"/>
  <c r="H24" i="3"/>
  <c r="H28" i="3" s="1"/>
  <c r="G24" i="3"/>
  <c r="G28" i="3"/>
  <c r="F24" i="3"/>
  <c r="F28" i="3" s="1"/>
  <c r="E24" i="3"/>
  <c r="E28" i="3" s="1"/>
  <c r="L23" i="3"/>
  <c r="D23" i="3"/>
  <c r="I23" i="3" s="1"/>
  <c r="L22" i="3"/>
  <c r="D22" i="3"/>
  <c r="I22" i="3" s="1"/>
  <c r="L21" i="3"/>
  <c r="D21" i="3"/>
  <c r="I21" i="3" s="1"/>
  <c r="L20" i="3"/>
  <c r="D20" i="3"/>
  <c r="I20" i="3" s="1"/>
  <c r="L19" i="3"/>
  <c r="D19" i="3"/>
  <c r="I19" i="3" s="1"/>
  <c r="L18" i="3"/>
  <c r="D18" i="3"/>
  <c r="I18" i="3" s="1"/>
  <c r="L17" i="3"/>
  <c r="D17" i="3"/>
  <c r="I17" i="3" s="1"/>
  <c r="L16" i="3"/>
  <c r="D16" i="3"/>
  <c r="I16" i="3" s="1"/>
  <c r="L15" i="3"/>
  <c r="D15" i="3"/>
  <c r="I15" i="3" s="1"/>
  <c r="L26" i="2"/>
  <c r="D26" i="2"/>
  <c r="I26" i="2" s="1"/>
  <c r="T24" i="2"/>
  <c r="H24" i="2"/>
  <c r="H28" i="2" s="1"/>
  <c r="G24" i="2"/>
  <c r="G28" i="2"/>
  <c r="F24" i="2"/>
  <c r="F28" i="2" s="1"/>
  <c r="E24" i="2"/>
  <c r="E28" i="2" s="1"/>
  <c r="L23" i="2"/>
  <c r="D23" i="2"/>
  <c r="I23" i="2" s="1"/>
  <c r="L22" i="2"/>
  <c r="D22" i="2"/>
  <c r="I22" i="2" s="1"/>
  <c r="L21" i="2"/>
  <c r="D21" i="2"/>
  <c r="I21" i="2" s="1"/>
  <c r="L20" i="2"/>
  <c r="D20" i="2"/>
  <c r="I20" i="2" s="1"/>
  <c r="L19" i="2"/>
  <c r="D19" i="2"/>
  <c r="I19" i="2" s="1"/>
  <c r="L18" i="2"/>
  <c r="D18" i="2"/>
  <c r="L17" i="2"/>
  <c r="D17" i="2"/>
  <c r="I17" i="2"/>
  <c r="L16" i="2"/>
  <c r="D16" i="2"/>
  <c r="I16" i="2" s="1"/>
  <c r="L15" i="2"/>
  <c r="D15" i="2"/>
  <c r="I15" i="2" s="1"/>
  <c r="L15" i="1"/>
  <c r="D26" i="1"/>
  <c r="I26" i="1" s="1"/>
  <c r="D20" i="1"/>
  <c r="I20" i="1" s="1"/>
  <c r="D23" i="1"/>
  <c r="I23" i="1" s="1"/>
  <c r="D15" i="1"/>
  <c r="D16" i="1"/>
  <c r="I16" i="1" s="1"/>
  <c r="L16" i="1"/>
  <c r="D17" i="1"/>
  <c r="I17" i="1" s="1"/>
  <c r="L17" i="1"/>
  <c r="D18" i="1"/>
  <c r="I18" i="1" s="1"/>
  <c r="L18" i="1"/>
  <c r="D19" i="1"/>
  <c r="I19" i="1" s="1"/>
  <c r="L19" i="1"/>
  <c r="L20" i="1"/>
  <c r="D21" i="1"/>
  <c r="I21" i="1" s="1"/>
  <c r="L21" i="1"/>
  <c r="D22" i="1"/>
  <c r="I22" i="1" s="1"/>
  <c r="L22" i="1"/>
  <c r="L23" i="1"/>
  <c r="C24" i="1"/>
  <c r="C24" i="2" s="1"/>
  <c r="E24" i="1"/>
  <c r="E28" i="1" s="1"/>
  <c r="F24" i="1"/>
  <c r="F28" i="1" s="1"/>
  <c r="G24" i="1"/>
  <c r="G28" i="1"/>
  <c r="H24" i="1"/>
  <c r="H28" i="1" s="1"/>
  <c r="T24" i="1"/>
  <c r="L26" i="1"/>
  <c r="M24" i="1" s="1"/>
  <c r="I18" i="2"/>
  <c r="I15" i="1"/>
  <c r="D24" i="3" l="1"/>
  <c r="D28" i="3" s="1"/>
  <c r="I24" i="3"/>
  <c r="N37" i="3" s="1"/>
  <c r="D24" i="2"/>
  <c r="D28" i="2" s="1"/>
  <c r="I24" i="2"/>
  <c r="I28" i="2" s="1"/>
  <c r="N24" i="2" s="1"/>
  <c r="D24" i="1"/>
  <c r="D28" i="1" s="1"/>
  <c r="I24" i="1"/>
  <c r="N34" i="1" s="1"/>
  <c r="C24" i="3"/>
  <c r="C31" i="3" s="1"/>
  <c r="O26" i="3" s="1"/>
  <c r="C31" i="2"/>
  <c r="O26" i="2" s="1"/>
  <c r="C28" i="1"/>
  <c r="C31" i="1"/>
  <c r="O26" i="1" s="1"/>
  <c r="N36" i="3" l="1"/>
  <c r="N33" i="3"/>
  <c r="N35" i="3"/>
  <c r="N34" i="3"/>
  <c r="I28" i="3"/>
  <c r="N24" i="3" s="1"/>
  <c r="N34" i="2"/>
  <c r="N33" i="2"/>
  <c r="N36" i="2"/>
  <c r="N37" i="2"/>
  <c r="N35" i="2"/>
  <c r="N33" i="1"/>
  <c r="N36" i="1"/>
  <c r="N35" i="1"/>
  <c r="I28" i="1"/>
  <c r="N37" i="1"/>
  <c r="C28" i="2"/>
  <c r="O23" i="1"/>
  <c r="O18" i="1"/>
  <c r="O15" i="1"/>
  <c r="O17" i="1"/>
  <c r="O20" i="1"/>
  <c r="O22" i="1"/>
  <c r="O21" i="1"/>
  <c r="O16" i="1"/>
  <c r="O19" i="1"/>
  <c r="C28" i="3" l="1"/>
  <c r="O18" i="2"/>
  <c r="O22" i="2"/>
  <c r="O16" i="2"/>
  <c r="O15" i="2"/>
  <c r="O20" i="2"/>
  <c r="O21" i="2"/>
  <c r="O17" i="2"/>
  <c r="O23" i="2"/>
  <c r="O19" i="2"/>
  <c r="O24" i="1"/>
  <c r="O28" i="1" s="1"/>
  <c r="Q26" i="1" s="1"/>
  <c r="R26" i="1" s="1"/>
  <c r="Q23" i="1" l="1"/>
  <c r="R23" i="1" s="1"/>
  <c r="S23" i="1" s="1"/>
  <c r="Q17" i="1"/>
  <c r="R17" i="1" s="1"/>
  <c r="S17" i="1" s="1"/>
  <c r="Q15" i="1"/>
  <c r="R15" i="1" s="1"/>
  <c r="Q20" i="1"/>
  <c r="R20" i="1" s="1"/>
  <c r="S20" i="1" s="1"/>
  <c r="Q19" i="1"/>
  <c r="R19" i="1" s="1"/>
  <c r="S19" i="1" s="1"/>
  <c r="Q16" i="1"/>
  <c r="R16" i="1" s="1"/>
  <c r="O24" i="2"/>
  <c r="O28" i="2" s="1"/>
  <c r="Q26" i="2" s="1"/>
  <c r="R26" i="2" s="1"/>
  <c r="O19" i="3"/>
  <c r="O17" i="3"/>
  <c r="O20" i="3"/>
  <c r="O18" i="3"/>
  <c r="O21" i="3"/>
  <c r="O23" i="3"/>
  <c r="O15" i="3"/>
  <c r="O16" i="3"/>
  <c r="O22" i="3"/>
  <c r="Q21" i="1"/>
  <c r="Q18" i="1"/>
  <c r="Q22" i="1"/>
  <c r="Q16" i="2" l="1"/>
  <c r="R16" i="2" s="1"/>
  <c r="S16" i="2" s="1"/>
  <c r="Q17" i="2"/>
  <c r="R17" i="2" s="1"/>
  <c r="S17" i="2" s="1"/>
  <c r="Q22" i="2"/>
  <c r="R22" i="2" s="1"/>
  <c r="S22" i="2" s="1"/>
  <c r="Q18" i="2"/>
  <c r="R18" i="2" s="1"/>
  <c r="S18" i="2" s="1"/>
  <c r="Q20" i="2"/>
  <c r="R20" i="2" s="1"/>
  <c r="S20" i="2" s="1"/>
  <c r="Q19" i="2"/>
  <c r="R19" i="2" s="1"/>
  <c r="S19" i="2" s="1"/>
  <c r="Q15" i="2"/>
  <c r="Q21" i="2"/>
  <c r="S16" i="1"/>
  <c r="R22" i="1"/>
  <c r="S22" i="1" s="1"/>
  <c r="R15" i="2"/>
  <c r="S15" i="2" s="1"/>
  <c r="R21" i="2"/>
  <c r="S21" i="2" s="1"/>
  <c r="S15" i="1"/>
  <c r="R18" i="1"/>
  <c r="R21" i="1"/>
  <c r="S21" i="1" s="1"/>
  <c r="Q23" i="2"/>
  <c r="R23" i="2" s="1"/>
  <c r="S23" i="2" s="1"/>
  <c r="Q24" i="1"/>
  <c r="O24" i="3"/>
  <c r="O28" i="3" s="1"/>
  <c r="Q26" i="3" s="1"/>
  <c r="R26" i="3" s="1"/>
  <c r="Q23" i="3" l="1"/>
  <c r="R23" i="3" s="1"/>
  <c r="S23" i="3" s="1"/>
  <c r="R24" i="1"/>
  <c r="R28" i="1" s="1"/>
  <c r="Q24" i="2"/>
  <c r="Q28" i="2" s="1"/>
  <c r="Q22" i="3"/>
  <c r="R22" i="3" s="1"/>
  <c r="S22" i="3" s="1"/>
  <c r="Q15" i="3"/>
  <c r="Q17" i="3"/>
  <c r="R17" i="3" s="1"/>
  <c r="S17" i="3" s="1"/>
  <c r="S18" i="1"/>
  <c r="Q20" i="3"/>
  <c r="R20" i="3" s="1"/>
  <c r="S20" i="3" s="1"/>
  <c r="R15" i="3"/>
  <c r="S15" i="3" s="1"/>
  <c r="Q28" i="1"/>
  <c r="Q18" i="3"/>
  <c r="R18" i="3" s="1"/>
  <c r="S18" i="3" s="1"/>
  <c r="Q16" i="3"/>
  <c r="R16" i="3" s="1"/>
  <c r="S16" i="3" s="1"/>
  <c r="R24" i="2"/>
  <c r="R28" i="2" s="1"/>
  <c r="Q19" i="3"/>
  <c r="R19" i="3" s="1"/>
  <c r="S19" i="3" s="1"/>
  <c r="Q21" i="3"/>
  <c r="S30" i="1" l="1"/>
  <c r="S24" i="2"/>
  <c r="S28" i="2" s="1"/>
  <c r="S30" i="2"/>
  <c r="S24" i="1"/>
  <c r="S28" i="1" s="1"/>
  <c r="R21" i="3"/>
  <c r="S21" i="3" s="1"/>
  <c r="Q24" i="3"/>
  <c r="R24" i="3" l="1"/>
  <c r="R28" i="3" s="1"/>
  <c r="Q28" i="3"/>
  <c r="S24" i="3" l="1"/>
  <c r="S28" i="3" s="1"/>
  <c r="S30" i="3"/>
</calcChain>
</file>

<file path=xl/sharedStrings.xml><?xml version="1.0" encoding="utf-8"?>
<sst xmlns="http://schemas.openxmlformats.org/spreadsheetml/2006/main" count="111" uniqueCount="37">
  <si>
    <t xml:space="preserve">Поселение </t>
  </si>
  <si>
    <t xml:space="preserve">Всего </t>
  </si>
  <si>
    <t xml:space="preserve">Итого  по сельским поселениям </t>
  </si>
  <si>
    <t xml:space="preserve">район </t>
  </si>
  <si>
    <t xml:space="preserve">Всего поселения </t>
  </si>
  <si>
    <t>Числен- ность</t>
  </si>
  <si>
    <t xml:space="preserve">Бюджетная обеспеченность   поселения = индекс доходного потенциала / индекс бюджетных расходов </t>
  </si>
  <si>
    <t>Индекс доходного потенциала  поселения</t>
  </si>
  <si>
    <t xml:space="preserve">Индекс бюджетных расходов поселения </t>
  </si>
  <si>
    <t xml:space="preserve">Объем средств, необходимый для доведения бюджетной обеспеченности поселения до уровня, выбранного в качестве критерия </t>
  </si>
  <si>
    <t>Доля дотации (№120-ФЗ)</t>
  </si>
  <si>
    <t xml:space="preserve">Уровень  бюджетной обеспеченности, установленный в качестве критерия выравнивания </t>
  </si>
  <si>
    <t>Доходы</t>
  </si>
  <si>
    <t xml:space="preserve">в том числе </t>
  </si>
  <si>
    <t>собственные</t>
  </si>
  <si>
    <t xml:space="preserve">дотация областная </t>
  </si>
  <si>
    <t xml:space="preserve">прочее </t>
  </si>
  <si>
    <t xml:space="preserve">Расходы </t>
  </si>
  <si>
    <t>Размер дотации из РФФПП на выравнивание бюджетной обеспеченности</t>
  </si>
  <si>
    <t xml:space="preserve">Доходы - расходы </t>
  </si>
  <si>
    <t xml:space="preserve">Таблица 6 </t>
  </si>
  <si>
    <t xml:space="preserve">Размер иных межбюджетных трансфертов (на поддержку мер по обеспече нию сбалансированности бюджетов поселений)  </t>
  </si>
  <si>
    <r>
      <t xml:space="preserve">Объем районного фонда финансовой поддержки поселений </t>
    </r>
    <r>
      <rPr>
        <sz val="8"/>
        <rFont val="Arial Cyr"/>
        <charset val="204"/>
      </rPr>
      <t>(Расходы поселений без города  - Собств. Доходы  - Дотации из обл. бюджета) 50%</t>
    </r>
  </si>
  <si>
    <t>Бутырское</t>
  </si>
  <si>
    <t>Большерельненское</t>
  </si>
  <si>
    <t>Новокрасавское</t>
  </si>
  <si>
    <t>Октябрьское</t>
  </si>
  <si>
    <t>Гремячинское</t>
  </si>
  <si>
    <t>Большедмитриевское</t>
  </si>
  <si>
    <t>Раздолоьновское</t>
  </si>
  <si>
    <t>Ширококарамышское</t>
  </si>
  <si>
    <t>Большекопенское</t>
  </si>
  <si>
    <t xml:space="preserve">Лысые Горы </t>
  </si>
  <si>
    <t>Раздольновское</t>
  </si>
  <si>
    <t xml:space="preserve">Расчет размера дотации на выравнивание бюджетной обеспеченности  поселений  из  местного бюджета района (районного фонда финансовой поддержки) и иных межбюджетных трансфертов на поддержку мер по обеспечению сбалансированности бюджетов поселений на 2021 год  </t>
  </si>
  <si>
    <t xml:space="preserve">Расчет размера дотации на выравнивание бюджетной обеспеченности  поселений  из  местного бюджета района (районного фонда финансовой поддержки) и иных межбюджетных трансфертов на поддержку мер по обеспечению сбалансированности бюджетов поселений на 2022 год  </t>
  </si>
  <si>
    <t xml:space="preserve">Расчет размера дотации на выравнивание бюджетной обеспеченности  поселений  из  местного бюджета района (районного фонда финансовой поддержки) и иных межбюджетных трансфертов на поддержку мер по обеспечению сбалансированности бюджетов поселений на 2023 год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</si>
</sst>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4" x14ac:knownFonts="1">
    <font>
      <sz val="10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sz val="10"/>
      <name val="Arial Cyr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0" fillId="0" borderId="1" xfId="0" applyBorder="1"/>
    <xf numFmtId="0" fontId="0" fillId="0" borderId="2" xfId="0" applyBorder="1"/>
    <xf numFmtId="0" fontId="2" fillId="2" borderId="3" xfId="0" applyFont="1" applyFill="1" applyBorder="1"/>
    <xf numFmtId="0" fontId="2" fillId="2" borderId="4" xfId="0" applyFont="1" applyFill="1" applyBorder="1"/>
    <xf numFmtId="0" fontId="2" fillId="0" borderId="5" xfId="0" applyFont="1" applyBorder="1"/>
    <xf numFmtId="0" fontId="2" fillId="0" borderId="2" xfId="0" applyFont="1" applyBorder="1"/>
    <xf numFmtId="0" fontId="2" fillId="2" borderId="6" xfId="0" applyFont="1" applyFill="1" applyBorder="1"/>
    <xf numFmtId="0" fontId="1" fillId="0" borderId="0" xfId="0" applyFont="1"/>
    <xf numFmtId="2" fontId="1" fillId="0" borderId="1" xfId="0" applyNumberFormat="1" applyFont="1" applyBorder="1"/>
    <xf numFmtId="0" fontId="0" fillId="0" borderId="7" xfId="0" applyBorder="1"/>
    <xf numFmtId="0" fontId="0" fillId="0" borderId="8" xfId="0" applyBorder="1"/>
    <xf numFmtId="0" fontId="2" fillId="0" borderId="0" xfId="0" applyFont="1"/>
    <xf numFmtId="165" fontId="1" fillId="0" borderId="9" xfId="0" applyNumberFormat="1" applyFont="1" applyBorder="1"/>
    <xf numFmtId="165" fontId="1" fillId="0" borderId="7" xfId="0" applyNumberFormat="1" applyFont="1" applyBorder="1"/>
    <xf numFmtId="165" fontId="1" fillId="0" borderId="8" xfId="0" applyNumberFormat="1" applyFont="1" applyBorder="1"/>
    <xf numFmtId="0" fontId="2" fillId="2" borderId="10" xfId="0" applyFont="1" applyFill="1" applyBorder="1"/>
    <xf numFmtId="0" fontId="2" fillId="0" borderId="8" xfId="0" applyFont="1" applyBorder="1"/>
    <xf numFmtId="164" fontId="1" fillId="2" borderId="9" xfId="0" applyNumberFormat="1" applyFont="1" applyFill="1" applyBorder="1"/>
    <xf numFmtId="164" fontId="1" fillId="2" borderId="7" xfId="0" applyNumberFormat="1" applyFont="1" applyFill="1" applyBorder="1" applyAlignment="1">
      <alignment horizontal="right" vertical="center" wrapText="1"/>
    </xf>
    <xf numFmtId="164" fontId="1" fillId="2" borderId="7" xfId="0" applyNumberFormat="1" applyFont="1" applyFill="1" applyBorder="1"/>
    <xf numFmtId="0" fontId="0" fillId="0" borderId="3" xfId="0" applyBorder="1"/>
    <xf numFmtId="0" fontId="0" fillId="0" borderId="5" xfId="0" applyBorder="1"/>
    <xf numFmtId="9" fontId="0" fillId="0" borderId="7" xfId="0" applyNumberFormat="1" applyBorder="1"/>
    <xf numFmtId="0" fontId="1" fillId="0" borderId="9" xfId="0" applyFont="1" applyBorder="1"/>
    <xf numFmtId="0" fontId="0" fillId="0" borderId="11" xfId="0" applyBorder="1"/>
    <xf numFmtId="0" fontId="0" fillId="0" borderId="6" xfId="0" applyBorder="1"/>
    <xf numFmtId="165" fontId="1" fillId="0" borderId="10" xfId="0" applyNumberFormat="1" applyFont="1" applyBorder="1"/>
    <xf numFmtId="0" fontId="0" fillId="0" borderId="10" xfId="0" applyBorder="1"/>
    <xf numFmtId="0" fontId="0" fillId="0" borderId="12" xfId="0" applyBorder="1"/>
    <xf numFmtId="0" fontId="1" fillId="0" borderId="11" xfId="0" applyFont="1" applyBorder="1"/>
    <xf numFmtId="0" fontId="1" fillId="0" borderId="12" xfId="0" applyFont="1" applyBorder="1"/>
    <xf numFmtId="0" fontId="0" fillId="0" borderId="9" xfId="0" applyBorder="1"/>
    <xf numFmtId="0" fontId="0" fillId="0" borderId="13" xfId="0" applyBorder="1"/>
    <xf numFmtId="0" fontId="0" fillId="0" borderId="4" xfId="0" applyBorder="1"/>
    <xf numFmtId="0" fontId="2" fillId="2" borderId="0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165" fontId="0" fillId="0" borderId="11" xfId="0" applyNumberFormat="1" applyBorder="1"/>
    <xf numFmtId="165" fontId="2" fillId="0" borderId="3" xfId="0" applyNumberFormat="1" applyFont="1" applyBorder="1"/>
    <xf numFmtId="165" fontId="1" fillId="3" borderId="9" xfId="0" applyNumberFormat="1" applyFont="1" applyFill="1" applyBorder="1"/>
    <xf numFmtId="165" fontId="1" fillId="3" borderId="7" xfId="0" applyNumberFormat="1" applyFont="1" applyFill="1" applyBorder="1"/>
    <xf numFmtId="9" fontId="0" fillId="0" borderId="0" xfId="0" applyNumberFormat="1"/>
    <xf numFmtId="166" fontId="2" fillId="0" borderId="0" xfId="0" applyNumberFormat="1" applyFont="1"/>
    <xf numFmtId="166" fontId="2" fillId="0" borderId="0" xfId="0" applyNumberFormat="1" applyFont="1" applyAlignment="1">
      <alignment horizontal="right"/>
    </xf>
    <xf numFmtId="9" fontId="0" fillId="0" borderId="0" xfId="0" applyNumberFormat="1" applyFill="1"/>
    <xf numFmtId="166" fontId="2" fillId="0" borderId="0" xfId="0" applyNumberFormat="1" applyFont="1" applyFill="1"/>
    <xf numFmtId="4" fontId="2" fillId="0" borderId="16" xfId="0" applyNumberFormat="1" applyFont="1" applyBorder="1"/>
    <xf numFmtId="4" fontId="2" fillId="0" borderId="1" xfId="0" applyNumberFormat="1" applyFont="1" applyBorder="1"/>
    <xf numFmtId="4" fontId="2" fillId="0" borderId="3" xfId="0" applyNumberFormat="1" applyFont="1" applyBorder="1"/>
    <xf numFmtId="4" fontId="1" fillId="3" borderId="7" xfId="0" applyNumberFormat="1" applyFont="1" applyFill="1" applyBorder="1" applyAlignment="1">
      <alignment horizontal="right" vertical="center" wrapText="1"/>
    </xf>
    <xf numFmtId="4" fontId="1" fillId="3" borderId="9" xfId="0" applyNumberFormat="1" applyFont="1" applyFill="1" applyBorder="1"/>
    <xf numFmtId="4" fontId="1" fillId="3" borderId="7" xfId="0" applyNumberFormat="1" applyFont="1" applyFill="1" applyBorder="1"/>
    <xf numFmtId="4" fontId="1" fillId="2" borderId="9" xfId="0" applyNumberFormat="1" applyFont="1" applyFill="1" applyBorder="1"/>
    <xf numFmtId="4" fontId="1" fillId="2" borderId="7" xfId="0" applyNumberFormat="1" applyFont="1" applyFill="1" applyBorder="1" applyAlignment="1">
      <alignment horizontal="right" vertical="center" wrapText="1"/>
    </xf>
    <xf numFmtId="4" fontId="1" fillId="2" borderId="7" xfId="0" applyNumberFormat="1" applyFont="1" applyFill="1" applyBorder="1"/>
    <xf numFmtId="4" fontId="1" fillId="3" borderId="1" xfId="0" applyNumberFormat="1" applyFont="1" applyFill="1" applyBorder="1"/>
    <xf numFmtId="4" fontId="1" fillId="3" borderId="1" xfId="0" applyNumberFormat="1" applyFont="1" applyFill="1" applyBorder="1" applyAlignment="1">
      <alignment horizontal="right" vertical="center" wrapText="1"/>
    </xf>
    <xf numFmtId="4" fontId="2" fillId="2" borderId="6" xfId="0" applyNumberFormat="1" applyFont="1" applyFill="1" applyBorder="1"/>
    <xf numFmtId="4" fontId="1" fillId="2" borderId="10" xfId="0" applyNumberFormat="1" applyFont="1" applyFill="1" applyBorder="1"/>
    <xf numFmtId="4" fontId="2" fillId="2" borderId="10" xfId="0" applyNumberFormat="1" applyFont="1" applyFill="1" applyBorder="1"/>
    <xf numFmtId="4" fontId="2" fillId="4" borderId="13" xfId="0" applyNumberFormat="1" applyFont="1" applyFill="1" applyBorder="1"/>
    <xf numFmtId="4" fontId="1" fillId="0" borderId="9" xfId="0" applyNumberFormat="1" applyFont="1" applyBorder="1"/>
    <xf numFmtId="4" fontId="1" fillId="0" borderId="1" xfId="0" applyNumberFormat="1" applyFont="1" applyBorder="1"/>
    <xf numFmtId="4" fontId="2" fillId="0" borderId="7" xfId="0" applyNumberFormat="1" applyFont="1" applyBorder="1"/>
    <xf numFmtId="4" fontId="1" fillId="0" borderId="12" xfId="0" applyNumberFormat="1" applyFont="1" applyBorder="1"/>
    <xf numFmtId="4" fontId="1" fillId="0" borderId="3" xfId="0" applyNumberFormat="1" applyFont="1" applyBorder="1"/>
    <xf numFmtId="4" fontId="1" fillId="0" borderId="10" xfId="0" applyNumberFormat="1" applyFont="1" applyBorder="1"/>
    <xf numFmtId="4" fontId="1" fillId="0" borderId="6" xfId="0" applyNumberFormat="1" applyFont="1" applyBorder="1"/>
    <xf numFmtId="4" fontId="1" fillId="5" borderId="7" xfId="0" applyNumberFormat="1" applyFont="1" applyFill="1" applyBorder="1"/>
    <xf numFmtId="4" fontId="0" fillId="0" borderId="7" xfId="0" applyNumberFormat="1" applyBorder="1"/>
    <xf numFmtId="4" fontId="3" fillId="0" borderId="1" xfId="0" applyNumberFormat="1" applyFont="1" applyBorder="1"/>
    <xf numFmtId="4" fontId="0" fillId="0" borderId="3" xfId="0" applyNumberFormat="1" applyBorder="1"/>
    <xf numFmtId="4" fontId="1" fillId="3" borderId="12" xfId="0" applyNumberFormat="1" applyFont="1" applyFill="1" applyBorder="1"/>
    <xf numFmtId="4" fontId="1" fillId="3" borderId="9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Border="1"/>
    <xf numFmtId="4" fontId="2" fillId="0" borderId="9" xfId="0" applyNumberFormat="1" applyFont="1" applyBorder="1"/>
    <xf numFmtId="0" fontId="2" fillId="6" borderId="17" xfId="0" applyFont="1" applyFill="1" applyBorder="1" applyAlignment="1">
      <alignment horizontal="left" vertical="center" wrapText="1"/>
    </xf>
    <xf numFmtId="4" fontId="2" fillId="6" borderId="13" xfId="0" applyNumberFormat="1" applyFont="1" applyFill="1" applyBorder="1" applyAlignment="1">
      <alignment horizontal="right" vertical="center"/>
    </xf>
    <xf numFmtId="4" fontId="2" fillId="6" borderId="18" xfId="0" applyNumberFormat="1" applyFont="1" applyFill="1" applyBorder="1" applyAlignment="1">
      <alignment horizontal="right" vertical="center"/>
    </xf>
    <xf numFmtId="164" fontId="2" fillId="6" borderId="18" xfId="0" applyNumberFormat="1" applyFont="1" applyFill="1" applyBorder="1" applyAlignment="1">
      <alignment horizontal="right" vertical="center"/>
    </xf>
    <xf numFmtId="165" fontId="2" fillId="6" borderId="18" xfId="0" applyNumberFormat="1" applyFont="1" applyFill="1" applyBorder="1" applyAlignment="1">
      <alignment horizontal="right" vertical="center" wrapText="1"/>
    </xf>
    <xf numFmtId="165" fontId="2" fillId="6" borderId="18" xfId="0" applyNumberFormat="1" applyFont="1" applyFill="1" applyBorder="1" applyAlignment="1">
      <alignment horizontal="center" vertical="center" wrapText="1"/>
    </xf>
    <xf numFmtId="4" fontId="2" fillId="6" borderId="18" xfId="0" applyNumberFormat="1" applyFont="1" applyFill="1" applyBorder="1"/>
    <xf numFmtId="4" fontId="2" fillId="6" borderId="13" xfId="0" applyNumberFormat="1" applyFont="1" applyFill="1" applyBorder="1"/>
    <xf numFmtId="4" fontId="0" fillId="6" borderId="13" xfId="0" applyNumberFormat="1" applyFill="1" applyBorder="1"/>
    <xf numFmtId="0" fontId="2" fillId="6" borderId="17" xfId="0" applyFont="1" applyFill="1" applyBorder="1"/>
    <xf numFmtId="164" fontId="2" fillId="6" borderId="18" xfId="0" applyNumberFormat="1" applyFont="1" applyFill="1" applyBorder="1"/>
    <xf numFmtId="165" fontId="1" fillId="6" borderId="18" xfId="0" applyNumberFormat="1" applyFont="1" applyFill="1" applyBorder="1"/>
    <xf numFmtId="0" fontId="0" fillId="6" borderId="18" xfId="0" applyFill="1" applyBorder="1"/>
    <xf numFmtId="4" fontId="1" fillId="6" borderId="13" xfId="0" applyNumberFormat="1" applyFont="1" applyFill="1" applyBorder="1"/>
    <xf numFmtId="4" fontId="2" fillId="6" borderId="17" xfId="0" applyNumberFormat="1" applyFont="1" applyFill="1" applyBorder="1"/>
    <xf numFmtId="4" fontId="2" fillId="0" borderId="19" xfId="0" applyNumberFormat="1" applyFont="1" applyBorder="1"/>
    <xf numFmtId="4" fontId="2" fillId="0" borderId="20" xfId="0" applyNumberFormat="1" applyFont="1" applyBorder="1"/>
    <xf numFmtId="4" fontId="2" fillId="0" borderId="21" xfId="0" applyNumberFormat="1" applyFont="1" applyBorder="1"/>
    <xf numFmtId="0" fontId="2" fillId="2" borderId="11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left" vertical="center" wrapText="1"/>
    </xf>
    <xf numFmtId="0" fontId="0" fillId="0" borderId="0" xfId="0" applyAlignment="1">
      <alignment horizontal="center"/>
    </xf>
    <xf numFmtId="0" fontId="2" fillId="0" borderId="2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 vertical="center" textRotation="90" wrapText="1"/>
    </xf>
    <xf numFmtId="0" fontId="2" fillId="0" borderId="14" xfId="0" applyFont="1" applyBorder="1" applyAlignment="1">
      <alignment horizontal="center" vertical="center" textRotation="90" wrapText="1"/>
    </xf>
    <xf numFmtId="0" fontId="2" fillId="0" borderId="23" xfId="0" applyFont="1" applyBorder="1" applyAlignment="1">
      <alignment horizontal="center" vertical="center" textRotation="90" wrapText="1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3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7"/>
  <sheetViews>
    <sheetView zoomScaleNormal="100" zoomScaleSheetLayoutView="100" workbookViewId="0">
      <pane xSplit="2" ySplit="14" topLeftCell="G15" activePane="bottomRight" state="frozen"/>
      <selection pane="topRight" activeCell="C1" sqref="C1"/>
      <selection pane="bottomLeft" activeCell="A14" sqref="A14"/>
      <selection pane="bottomRight" activeCell="J24" sqref="J24"/>
    </sheetView>
  </sheetViews>
  <sheetFormatPr defaultRowHeight="12.75" x14ac:dyDescent="0.2"/>
  <cols>
    <col min="1" max="1" width="3.140625" customWidth="1"/>
    <col min="2" max="2" width="19.85546875" customWidth="1"/>
    <col min="3" max="3" width="9.28515625" customWidth="1"/>
    <col min="4" max="4" width="11.28515625" customWidth="1"/>
    <col min="5" max="5" width="12.85546875" customWidth="1"/>
    <col min="6" max="6" width="14.42578125" customWidth="1"/>
    <col min="7" max="7" width="5.5703125" customWidth="1"/>
    <col min="8" max="8" width="13.7109375" customWidth="1"/>
    <col min="9" max="9" width="12.140625" customWidth="1"/>
    <col min="10" max="10" width="10.42578125" customWidth="1"/>
    <col min="11" max="11" width="10.140625" customWidth="1"/>
    <col min="12" max="12" width="14" customWidth="1"/>
    <col min="13" max="13" width="10" customWidth="1"/>
    <col min="14" max="14" width="11" customWidth="1"/>
    <col min="15" max="15" width="10.85546875" customWidth="1"/>
    <col min="16" max="16" width="6.28515625" hidden="1" customWidth="1"/>
    <col min="17" max="17" width="15.28515625" customWidth="1"/>
    <col min="18" max="18" width="15.42578125" customWidth="1"/>
    <col min="19" max="19" width="14.42578125" customWidth="1"/>
    <col min="20" max="20" width="0.85546875" hidden="1" customWidth="1"/>
  </cols>
  <sheetData>
    <row r="5" spans="1:20" x14ac:dyDescent="0.2">
      <c r="O5" s="98" t="s">
        <v>20</v>
      </c>
      <c r="P5" s="98"/>
      <c r="Q5" s="98"/>
    </row>
    <row r="7" spans="1:20" ht="33.75" customHeight="1" x14ac:dyDescent="0.2">
      <c r="B7" s="108" t="s">
        <v>34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</row>
    <row r="8" spans="1:20" ht="13.5" thickBot="1" x14ac:dyDescent="0.25">
      <c r="B8" s="8"/>
      <c r="C8" s="8"/>
      <c r="D8" s="8"/>
      <c r="E8" s="8"/>
      <c r="F8" s="8"/>
      <c r="G8" s="8"/>
      <c r="H8" s="8"/>
      <c r="I8" s="8"/>
      <c r="N8" s="12"/>
    </row>
    <row r="9" spans="1:20" ht="21.75" customHeight="1" thickBot="1" x14ac:dyDescent="0.25">
      <c r="A9" s="112"/>
      <c r="B9" s="99" t="s">
        <v>0</v>
      </c>
      <c r="C9" s="99" t="s">
        <v>5</v>
      </c>
      <c r="D9" s="105" t="s">
        <v>12</v>
      </c>
      <c r="E9" s="106"/>
      <c r="F9" s="106"/>
      <c r="G9" s="107"/>
      <c r="H9" s="99" t="s">
        <v>17</v>
      </c>
      <c r="I9" s="99" t="s">
        <v>19</v>
      </c>
      <c r="J9" s="99" t="s">
        <v>7</v>
      </c>
      <c r="K9" s="99" t="s">
        <v>8</v>
      </c>
      <c r="L9" s="99" t="s">
        <v>6</v>
      </c>
      <c r="M9" s="99" t="s">
        <v>11</v>
      </c>
      <c r="N9" s="99" t="s">
        <v>22</v>
      </c>
      <c r="O9" s="99" t="s">
        <v>9</v>
      </c>
      <c r="P9" s="99" t="s">
        <v>10</v>
      </c>
      <c r="Q9" s="102" t="s">
        <v>18</v>
      </c>
      <c r="R9" s="99" t="s">
        <v>21</v>
      </c>
      <c r="S9" s="99" t="s">
        <v>18</v>
      </c>
      <c r="T9" s="99" t="s">
        <v>21</v>
      </c>
    </row>
    <row r="10" spans="1:20" ht="20.25" customHeight="1" thickBot="1" x14ac:dyDescent="0.25">
      <c r="A10" s="113"/>
      <c r="B10" s="100"/>
      <c r="C10" s="100"/>
      <c r="D10" s="100" t="s">
        <v>1</v>
      </c>
      <c r="E10" s="105" t="s">
        <v>13</v>
      </c>
      <c r="F10" s="106"/>
      <c r="G10" s="107"/>
      <c r="H10" s="100"/>
      <c r="I10" s="100"/>
      <c r="J10" s="100"/>
      <c r="K10" s="100"/>
      <c r="L10" s="100"/>
      <c r="M10" s="100"/>
      <c r="N10" s="100"/>
      <c r="O10" s="100"/>
      <c r="P10" s="100"/>
      <c r="Q10" s="103"/>
      <c r="R10" s="100"/>
      <c r="S10" s="100"/>
      <c r="T10" s="100"/>
    </row>
    <row r="11" spans="1:20" ht="12.75" customHeight="1" x14ac:dyDescent="0.2">
      <c r="A11" s="113"/>
      <c r="B11" s="100"/>
      <c r="C11" s="100"/>
      <c r="D11" s="100"/>
      <c r="E11" s="109" t="s">
        <v>14</v>
      </c>
      <c r="F11" s="109" t="s">
        <v>15</v>
      </c>
      <c r="G11" s="109" t="s">
        <v>16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3"/>
      <c r="R11" s="100"/>
      <c r="S11" s="100"/>
      <c r="T11" s="100"/>
    </row>
    <row r="12" spans="1:20" x14ac:dyDescent="0.2">
      <c r="A12" s="113"/>
      <c r="B12" s="100"/>
      <c r="C12" s="100"/>
      <c r="D12" s="100"/>
      <c r="E12" s="110"/>
      <c r="F12" s="110"/>
      <c r="G12" s="110"/>
      <c r="H12" s="100"/>
      <c r="I12" s="100"/>
      <c r="J12" s="100"/>
      <c r="K12" s="100"/>
      <c r="L12" s="100"/>
      <c r="M12" s="100"/>
      <c r="N12" s="100"/>
      <c r="O12" s="100"/>
      <c r="P12" s="100"/>
      <c r="Q12" s="103"/>
      <c r="R12" s="100"/>
      <c r="S12" s="100"/>
      <c r="T12" s="100"/>
    </row>
    <row r="13" spans="1:20" ht="12.75" customHeight="1" x14ac:dyDescent="0.2">
      <c r="A13" s="113"/>
      <c r="B13" s="100"/>
      <c r="C13" s="100"/>
      <c r="D13" s="100"/>
      <c r="E13" s="110"/>
      <c r="F13" s="110"/>
      <c r="G13" s="110"/>
      <c r="H13" s="100"/>
      <c r="I13" s="100"/>
      <c r="J13" s="100"/>
      <c r="K13" s="100"/>
      <c r="L13" s="100"/>
      <c r="M13" s="100"/>
      <c r="N13" s="100"/>
      <c r="O13" s="100"/>
      <c r="P13" s="100"/>
      <c r="Q13" s="103"/>
      <c r="R13" s="100"/>
      <c r="S13" s="100"/>
      <c r="T13" s="100"/>
    </row>
    <row r="14" spans="1:20" ht="80.25" customHeight="1" thickBot="1" x14ac:dyDescent="0.25">
      <c r="A14" s="114"/>
      <c r="B14" s="101"/>
      <c r="C14" s="101"/>
      <c r="D14" s="101"/>
      <c r="E14" s="111"/>
      <c r="F14" s="111"/>
      <c r="G14" s="111"/>
      <c r="H14" s="101"/>
      <c r="I14" s="101"/>
      <c r="J14" s="101"/>
      <c r="K14" s="101"/>
      <c r="L14" s="101"/>
      <c r="M14" s="101"/>
      <c r="N14" s="101"/>
      <c r="O14" s="101"/>
      <c r="P14" s="101"/>
      <c r="Q14" s="104"/>
      <c r="R14" s="101"/>
      <c r="S14" s="101"/>
      <c r="T14" s="101"/>
    </row>
    <row r="15" spans="1:20" x14ac:dyDescent="0.2">
      <c r="A15" s="29">
        <v>1</v>
      </c>
      <c r="B15" s="95" t="s">
        <v>23</v>
      </c>
      <c r="C15" s="73">
        <v>1315</v>
      </c>
      <c r="D15" s="74">
        <f>E15+F15+G15</f>
        <v>1303252</v>
      </c>
      <c r="E15" s="51">
        <v>1233600</v>
      </c>
      <c r="F15" s="51">
        <v>69652</v>
      </c>
      <c r="G15" s="18"/>
      <c r="H15" s="53">
        <v>1866915</v>
      </c>
      <c r="I15" s="53">
        <f>D15-H15</f>
        <v>-563663</v>
      </c>
      <c r="J15" s="40">
        <v>0.88400000000000001</v>
      </c>
      <c r="K15" s="13">
        <v>0.99199999999999999</v>
      </c>
      <c r="L15" s="13">
        <f>J15/K15</f>
        <v>0.8911290322580645</v>
      </c>
      <c r="M15" s="32"/>
      <c r="N15" s="32"/>
      <c r="O15" s="65">
        <f>(D28/C28)*(M24-L15)*K15*C15</f>
        <v>-298005.4872988587</v>
      </c>
      <c r="P15" s="29"/>
      <c r="Q15" s="75">
        <f>N24*(O15/O24)</f>
        <v>121225.05938703612</v>
      </c>
      <c r="R15" s="76">
        <f>H15-D15-Q15</f>
        <v>442437.94061296387</v>
      </c>
      <c r="S15" s="93">
        <f t="shared" ref="S15:S24" si="0">Q15+R15</f>
        <v>563663</v>
      </c>
      <c r="T15" s="47"/>
    </row>
    <row r="16" spans="1:20" x14ac:dyDescent="0.2">
      <c r="A16" s="1">
        <v>2</v>
      </c>
      <c r="B16" s="96" t="s">
        <v>24</v>
      </c>
      <c r="C16" s="56">
        <v>1132</v>
      </c>
      <c r="D16" s="50">
        <f t="shared" ref="D16:D23" si="1">E16+F16+G16</f>
        <v>1999459</v>
      </c>
      <c r="E16" s="52">
        <v>1939500</v>
      </c>
      <c r="F16" s="52">
        <v>59959</v>
      </c>
      <c r="G16" s="20"/>
      <c r="H16" s="55">
        <v>2109171</v>
      </c>
      <c r="I16" s="54">
        <f t="shared" ref="I16:I23" si="2">D16-H16</f>
        <v>-109712</v>
      </c>
      <c r="J16" s="41">
        <v>1.6559999999999999</v>
      </c>
      <c r="K16" s="14">
        <v>1.0229999999999999</v>
      </c>
      <c r="L16" s="14">
        <f t="shared" ref="L16:L23" si="3">J16/K16</f>
        <v>1.6187683284457479</v>
      </c>
      <c r="M16" s="10"/>
      <c r="N16" s="10"/>
      <c r="O16" s="63">
        <f>D28/C28*(M24-L16)*K16*C16</f>
        <v>-1696264.5925216386</v>
      </c>
      <c r="P16" s="1"/>
      <c r="Q16" s="49">
        <f>N24*(O16/O24)</f>
        <v>690020.09938945773</v>
      </c>
      <c r="R16" s="64">
        <f t="shared" ref="R16:R23" si="4">H16-D16-Q16</f>
        <v>-580308.09938945773</v>
      </c>
      <c r="S16" s="92">
        <f t="shared" si="0"/>
        <v>109712</v>
      </c>
      <c r="T16" s="49"/>
    </row>
    <row r="17" spans="1:20" x14ac:dyDescent="0.2">
      <c r="A17" s="1">
        <v>3</v>
      </c>
      <c r="B17" s="96" t="s">
        <v>25</v>
      </c>
      <c r="C17" s="56">
        <v>1153</v>
      </c>
      <c r="D17" s="50">
        <f t="shared" si="1"/>
        <v>1873272</v>
      </c>
      <c r="E17" s="52">
        <v>1812200</v>
      </c>
      <c r="F17" s="52">
        <v>61072</v>
      </c>
      <c r="G17" s="20"/>
      <c r="H17" s="55">
        <v>2314825</v>
      </c>
      <c r="I17" s="54">
        <f t="shared" si="2"/>
        <v>-441553</v>
      </c>
      <c r="J17" s="41">
        <v>1.2609999999999999</v>
      </c>
      <c r="K17" s="14">
        <v>0.999</v>
      </c>
      <c r="L17" s="14">
        <f t="shared" si="3"/>
        <v>1.2622622622622621</v>
      </c>
      <c r="M17" s="10"/>
      <c r="N17" s="10"/>
      <c r="O17" s="63">
        <f>D28/C28*(M24-L17)*K17*C17</f>
        <v>-989481.3615588689</v>
      </c>
      <c r="P17" s="1"/>
      <c r="Q17" s="49">
        <f>N24*(O17/O24)</f>
        <v>402509.15479635401</v>
      </c>
      <c r="R17" s="64">
        <f t="shared" si="4"/>
        <v>39043.845203645993</v>
      </c>
      <c r="S17" s="92">
        <f t="shared" si="0"/>
        <v>441553</v>
      </c>
      <c r="T17" s="49"/>
    </row>
    <row r="18" spans="1:20" x14ac:dyDescent="0.2">
      <c r="A18" s="1">
        <v>4</v>
      </c>
      <c r="B18" s="96" t="s">
        <v>26</v>
      </c>
      <c r="C18" s="56">
        <v>973</v>
      </c>
      <c r="D18" s="50">
        <f t="shared" si="1"/>
        <v>1643638</v>
      </c>
      <c r="E18" s="52">
        <v>1592100</v>
      </c>
      <c r="F18" s="52">
        <v>51538</v>
      </c>
      <c r="G18" s="20"/>
      <c r="H18" s="55">
        <v>2124311</v>
      </c>
      <c r="I18" s="54">
        <f t="shared" si="2"/>
        <v>-480673</v>
      </c>
      <c r="J18" s="41">
        <v>1.4119999999999999</v>
      </c>
      <c r="K18" s="14">
        <v>1.05</v>
      </c>
      <c r="L18" s="14">
        <f t="shared" si="3"/>
        <v>1.3447619047619046</v>
      </c>
      <c r="M18" s="10"/>
      <c r="N18" s="10"/>
      <c r="O18" s="63">
        <f>D28/C28*(M24-L18)*K18*C18</f>
        <v>-1020846.7125911032</v>
      </c>
      <c r="P18" s="1"/>
      <c r="Q18" s="49">
        <f>N24*(O18/O24)</f>
        <v>415268.20355093176</v>
      </c>
      <c r="R18" s="64">
        <f t="shared" si="4"/>
        <v>65404.796449068235</v>
      </c>
      <c r="S18" s="92">
        <f t="shared" si="0"/>
        <v>480673</v>
      </c>
      <c r="T18" s="49"/>
    </row>
    <row r="19" spans="1:20" ht="15" customHeight="1" x14ac:dyDescent="0.2">
      <c r="A19" s="1">
        <v>5</v>
      </c>
      <c r="B19" s="97" t="s">
        <v>27</v>
      </c>
      <c r="C19" s="57">
        <v>1203</v>
      </c>
      <c r="D19" s="50">
        <f t="shared" si="1"/>
        <v>1832820</v>
      </c>
      <c r="E19" s="50">
        <v>1769100</v>
      </c>
      <c r="F19" s="50">
        <v>63720</v>
      </c>
      <c r="G19" s="19"/>
      <c r="H19" s="54">
        <v>2092424</v>
      </c>
      <c r="I19" s="54">
        <f t="shared" si="2"/>
        <v>-259604</v>
      </c>
      <c r="J19" s="41">
        <v>1.5509999999999999</v>
      </c>
      <c r="K19" s="14">
        <v>0.98899999999999999</v>
      </c>
      <c r="L19" s="14">
        <f t="shared" si="3"/>
        <v>1.5682507583417593</v>
      </c>
      <c r="M19" s="10"/>
      <c r="N19" s="10"/>
      <c r="O19" s="63">
        <f>D28/C28*(M24-L19)*K19*C19</f>
        <v>-1640620.7058590529</v>
      </c>
      <c r="P19" s="1"/>
      <c r="Q19" s="49">
        <f>N24*(O19/O24)</f>
        <v>667384.83342057071</v>
      </c>
      <c r="R19" s="64">
        <f t="shared" si="4"/>
        <v>-407780.83342057071</v>
      </c>
      <c r="S19" s="92">
        <f t="shared" si="0"/>
        <v>259604</v>
      </c>
      <c r="T19" s="49"/>
    </row>
    <row r="20" spans="1:20" x14ac:dyDescent="0.2">
      <c r="A20" s="1">
        <v>6</v>
      </c>
      <c r="B20" s="96" t="s">
        <v>28</v>
      </c>
      <c r="C20" s="56">
        <v>1193</v>
      </c>
      <c r="D20" s="50">
        <f t="shared" si="1"/>
        <v>1151590</v>
      </c>
      <c r="E20" s="52">
        <v>1088400</v>
      </c>
      <c r="F20" s="52">
        <v>63190</v>
      </c>
      <c r="G20" s="20"/>
      <c r="H20" s="55">
        <v>1656556</v>
      </c>
      <c r="I20" s="54">
        <f t="shared" si="2"/>
        <v>-504966</v>
      </c>
      <c r="J20" s="41">
        <v>0.84899999999999998</v>
      </c>
      <c r="K20" s="14">
        <v>0.99399999999999999</v>
      </c>
      <c r="L20" s="14">
        <f t="shared" si="3"/>
        <v>0.85412474849094566</v>
      </c>
      <c r="M20" s="10"/>
      <c r="N20" s="10"/>
      <c r="O20" s="63">
        <f>D28/C28*(M24-L20)*K20*C20</f>
        <v>-196344.45675328234</v>
      </c>
      <c r="P20" s="1"/>
      <c r="Q20" s="49">
        <f>N24*(O20/O24)</f>
        <v>79870.570995097092</v>
      </c>
      <c r="R20" s="64">
        <f t="shared" si="4"/>
        <v>425095.42900490289</v>
      </c>
      <c r="S20" s="92">
        <f t="shared" si="0"/>
        <v>504966</v>
      </c>
      <c r="T20" s="49"/>
    </row>
    <row r="21" spans="1:20" x14ac:dyDescent="0.2">
      <c r="A21" s="1">
        <v>7</v>
      </c>
      <c r="B21" s="96" t="s">
        <v>29</v>
      </c>
      <c r="C21" s="56">
        <v>962</v>
      </c>
      <c r="D21" s="50">
        <f t="shared" si="1"/>
        <v>1508555</v>
      </c>
      <c r="E21" s="52">
        <v>1457600</v>
      </c>
      <c r="F21" s="52">
        <v>50955</v>
      </c>
      <c r="G21" s="20"/>
      <c r="H21" s="55">
        <v>1806146</v>
      </c>
      <c r="I21" s="54">
        <f t="shared" si="2"/>
        <v>-297591</v>
      </c>
      <c r="J21" s="41">
        <v>1.0589999999999999</v>
      </c>
      <c r="K21" s="14">
        <v>1.048</v>
      </c>
      <c r="L21" s="14">
        <f t="shared" si="3"/>
        <v>1.0104961832061068</v>
      </c>
      <c r="M21" s="10"/>
      <c r="N21" s="10"/>
      <c r="O21" s="63">
        <f>D28/C28*(M24-L21)*K21*C21</f>
        <v>-434790.04337940802</v>
      </c>
      <c r="P21" s="1"/>
      <c r="Q21" s="49">
        <f>N24*(O21/O24)</f>
        <v>176867.37686377697</v>
      </c>
      <c r="R21" s="64">
        <f t="shared" si="4"/>
        <v>120723.62313622303</v>
      </c>
      <c r="S21" s="92">
        <f t="shared" si="0"/>
        <v>297591</v>
      </c>
      <c r="T21" s="49"/>
    </row>
    <row r="22" spans="1:20" x14ac:dyDescent="0.2">
      <c r="A22" s="1">
        <v>8</v>
      </c>
      <c r="B22" s="96" t="s">
        <v>30</v>
      </c>
      <c r="C22" s="56">
        <v>2255</v>
      </c>
      <c r="D22" s="50">
        <f t="shared" si="1"/>
        <v>2889942</v>
      </c>
      <c r="E22" s="52">
        <v>2770500</v>
      </c>
      <c r="F22" s="52">
        <v>119442</v>
      </c>
      <c r="G22" s="20"/>
      <c r="H22" s="55">
        <v>2889942</v>
      </c>
      <c r="I22" s="54">
        <f t="shared" si="2"/>
        <v>0</v>
      </c>
      <c r="J22" s="41">
        <v>0.89100000000000001</v>
      </c>
      <c r="K22" s="14">
        <v>0.93</v>
      </c>
      <c r="L22" s="14">
        <f t="shared" si="3"/>
        <v>0.95806451612903221</v>
      </c>
      <c r="M22" s="10"/>
      <c r="N22" s="10"/>
      <c r="O22" s="63">
        <f>D28/C28*(M24-L22)*K22*C22</f>
        <v>-717597.68754927698</v>
      </c>
      <c r="P22" s="1"/>
      <c r="Q22" s="49">
        <f>N24*(O22/O24)</f>
        <v>291910.1358758572</v>
      </c>
      <c r="R22" s="64">
        <f t="shared" si="4"/>
        <v>-291910.1358758572</v>
      </c>
      <c r="S22" s="92">
        <f t="shared" si="0"/>
        <v>0</v>
      </c>
      <c r="T22" s="49"/>
    </row>
    <row r="23" spans="1:20" ht="13.5" thickBot="1" x14ac:dyDescent="0.25">
      <c r="A23" s="1">
        <v>9</v>
      </c>
      <c r="B23" s="96" t="s">
        <v>31</v>
      </c>
      <c r="C23" s="56">
        <v>1223</v>
      </c>
      <c r="D23" s="50">
        <f t="shared" si="1"/>
        <v>1785379</v>
      </c>
      <c r="E23" s="52">
        <v>1720600</v>
      </c>
      <c r="F23" s="52">
        <v>64779</v>
      </c>
      <c r="G23" s="20"/>
      <c r="H23" s="55">
        <v>2242254</v>
      </c>
      <c r="I23" s="54">
        <f t="shared" si="2"/>
        <v>-456875</v>
      </c>
      <c r="J23" s="41">
        <v>1.0649999999999999</v>
      </c>
      <c r="K23" s="14">
        <v>0.98599999999999999</v>
      </c>
      <c r="L23" s="14">
        <f t="shared" si="3"/>
        <v>1.0801217038539552</v>
      </c>
      <c r="M23" s="10"/>
      <c r="N23" s="10"/>
      <c r="O23" s="63">
        <f>D28/C28*(M24-L23)*K23*C23</f>
        <v>-662707.74595341494</v>
      </c>
      <c r="P23" s="1"/>
      <c r="Q23" s="49">
        <f>N24*(O23/O24)</f>
        <v>269581.5657209183</v>
      </c>
      <c r="R23" s="64">
        <f t="shared" si="4"/>
        <v>187293.4342790817</v>
      </c>
      <c r="S23" s="94">
        <f t="shared" si="0"/>
        <v>456875</v>
      </c>
      <c r="T23" s="49"/>
    </row>
    <row r="24" spans="1:20" ht="26.25" customHeight="1" thickBot="1" x14ac:dyDescent="0.25">
      <c r="A24" s="33"/>
      <c r="B24" s="77" t="s">
        <v>2</v>
      </c>
      <c r="C24" s="78">
        <f t="shared" ref="C24:I24" si="5">SUM(C15:C23)</f>
        <v>11409</v>
      </c>
      <c r="D24" s="79">
        <f t="shared" si="5"/>
        <v>15987907</v>
      </c>
      <c r="E24" s="79">
        <f t="shared" si="5"/>
        <v>15383600</v>
      </c>
      <c r="F24" s="79">
        <f t="shared" si="5"/>
        <v>604307</v>
      </c>
      <c r="G24" s="80">
        <f t="shared" si="5"/>
        <v>0</v>
      </c>
      <c r="H24" s="79">
        <f t="shared" si="5"/>
        <v>19102544</v>
      </c>
      <c r="I24" s="79">
        <f t="shared" si="5"/>
        <v>-3114637</v>
      </c>
      <c r="J24" s="81">
        <v>1.1459999999999999</v>
      </c>
      <c r="K24" s="81"/>
      <c r="L24" s="81"/>
      <c r="M24" s="82">
        <f>L26</f>
        <v>0.75667655786350152</v>
      </c>
      <c r="N24" s="83">
        <v>3114637</v>
      </c>
      <c r="O24" s="84">
        <f>SUM(O15:O23)</f>
        <v>-7656658.7934649047</v>
      </c>
      <c r="P24" s="85"/>
      <c r="Q24" s="84">
        <f>SUM(Q15:Q23)</f>
        <v>3114636.9999999995</v>
      </c>
      <c r="R24" s="84">
        <f>SUM(R15:R23)</f>
        <v>0</v>
      </c>
      <c r="S24" s="84">
        <f t="shared" si="0"/>
        <v>3114636.9999999995</v>
      </c>
      <c r="T24" s="61">
        <f>SUM(T15:T23)</f>
        <v>0</v>
      </c>
    </row>
    <row r="25" spans="1:20" x14ac:dyDescent="0.2">
      <c r="A25" s="29"/>
      <c r="B25" s="30"/>
      <c r="C25" s="31"/>
      <c r="D25" s="24"/>
      <c r="E25" s="24"/>
      <c r="F25" s="24"/>
      <c r="G25" s="24"/>
      <c r="H25" s="62"/>
      <c r="I25" s="62"/>
      <c r="J25" s="13"/>
      <c r="K25" s="13"/>
      <c r="L25" s="13"/>
      <c r="M25" s="32"/>
      <c r="N25" s="32"/>
      <c r="O25" s="29"/>
      <c r="P25" s="29"/>
      <c r="Q25" s="38"/>
      <c r="R25" s="62"/>
      <c r="S25" s="65"/>
      <c r="T25" s="66"/>
    </row>
    <row r="26" spans="1:20" x14ac:dyDescent="0.2">
      <c r="A26" s="1">
        <v>10</v>
      </c>
      <c r="B26" s="4" t="s">
        <v>32</v>
      </c>
      <c r="C26" s="58">
        <v>7074</v>
      </c>
      <c r="D26" s="54">
        <f>E26+F26+G26</f>
        <v>15416493</v>
      </c>
      <c r="E26" s="59">
        <v>15041800</v>
      </c>
      <c r="F26" s="59">
        <v>374693</v>
      </c>
      <c r="G26" s="16"/>
      <c r="H26" s="59">
        <v>15416493</v>
      </c>
      <c r="I26" s="54">
        <f>D26-H26</f>
        <v>0</v>
      </c>
      <c r="J26" s="14">
        <v>0.76500000000000001</v>
      </c>
      <c r="K26" s="14">
        <v>1.0109999999999999</v>
      </c>
      <c r="L26" s="14">
        <f>J26/K26</f>
        <v>0.75667655786350152</v>
      </c>
      <c r="M26" s="10"/>
      <c r="N26" s="23">
        <v>1</v>
      </c>
      <c r="O26" s="9">
        <f>D31/C31*(M27-L26)*K26*C26</f>
        <v>0</v>
      </c>
      <c r="P26" s="1"/>
      <c r="Q26" s="39">
        <f>N28*(1-P28)*(O26/O28)</f>
        <v>0</v>
      </c>
      <c r="R26" s="64">
        <f>H26-D26-Q26</f>
        <v>0</v>
      </c>
      <c r="S26" s="48"/>
      <c r="T26" s="49"/>
    </row>
    <row r="27" spans="1:20" ht="13.5" thickBot="1" x14ac:dyDescent="0.25">
      <c r="A27" s="26"/>
      <c r="B27" s="4"/>
      <c r="C27" s="58"/>
      <c r="D27" s="60"/>
      <c r="E27" s="60"/>
      <c r="F27" s="60"/>
      <c r="G27" s="16"/>
      <c r="H27" s="60"/>
      <c r="I27" s="60"/>
      <c r="J27" s="27"/>
      <c r="K27" s="27"/>
      <c r="L27" s="27"/>
      <c r="M27" s="28"/>
      <c r="N27" s="28"/>
      <c r="O27" s="26"/>
      <c r="P27" s="26"/>
      <c r="Q27" s="34"/>
      <c r="R27" s="67"/>
      <c r="S27" s="68"/>
      <c r="T27" s="66"/>
    </row>
    <row r="28" spans="1:20" ht="13.5" thickBot="1" x14ac:dyDescent="0.25">
      <c r="A28" s="33"/>
      <c r="B28" s="86" t="s">
        <v>4</v>
      </c>
      <c r="C28" s="84">
        <f>C24+C26</f>
        <v>18483</v>
      </c>
      <c r="D28" s="83">
        <f t="shared" ref="D28:I28" si="6">D24+D26</f>
        <v>31404400</v>
      </c>
      <c r="E28" s="83">
        <f t="shared" si="6"/>
        <v>30425400</v>
      </c>
      <c r="F28" s="83">
        <f t="shared" si="6"/>
        <v>979000</v>
      </c>
      <c r="G28" s="87">
        <f t="shared" si="6"/>
        <v>0</v>
      </c>
      <c r="H28" s="83">
        <f t="shared" si="6"/>
        <v>34519037</v>
      </c>
      <c r="I28" s="83">
        <f t="shared" si="6"/>
        <v>-3114637</v>
      </c>
      <c r="J28" s="88">
        <v>1</v>
      </c>
      <c r="K28" s="88">
        <v>1</v>
      </c>
      <c r="L28" s="88"/>
      <c r="M28" s="89"/>
      <c r="N28" s="89"/>
      <c r="O28" s="90">
        <f>O24+O26</f>
        <v>-7656658.7934649047</v>
      </c>
      <c r="P28" s="85"/>
      <c r="Q28" s="91">
        <f>Q24</f>
        <v>3114636.9999999995</v>
      </c>
      <c r="R28" s="84">
        <f>R24</f>
        <v>0</v>
      </c>
      <c r="S28" s="84">
        <f>S24+S26</f>
        <v>3114636.9999999995</v>
      </c>
      <c r="T28" s="69"/>
    </row>
    <row r="29" spans="1:20" x14ac:dyDescent="0.2">
      <c r="A29" s="29"/>
      <c r="B29" s="35"/>
      <c r="C29" s="36"/>
      <c r="D29" s="37"/>
      <c r="E29" s="37"/>
      <c r="F29" s="37"/>
      <c r="G29" s="37"/>
      <c r="H29" s="37"/>
      <c r="I29" s="37"/>
      <c r="J29" s="13"/>
      <c r="K29" s="13"/>
      <c r="L29" s="13"/>
      <c r="M29" s="32"/>
      <c r="N29" s="32"/>
      <c r="O29" s="29"/>
      <c r="P29" s="29"/>
      <c r="Q29" s="25"/>
      <c r="R29" s="62"/>
      <c r="S29" s="65"/>
      <c r="T29" s="66"/>
    </row>
    <row r="30" spans="1:20" x14ac:dyDescent="0.2">
      <c r="A30" s="1"/>
      <c r="B30" s="3" t="s">
        <v>3</v>
      </c>
      <c r="C30" s="7"/>
      <c r="D30" s="16"/>
      <c r="E30" s="16"/>
      <c r="F30" s="16"/>
      <c r="G30" s="16"/>
      <c r="H30" s="16"/>
      <c r="I30" s="16"/>
      <c r="J30" s="14"/>
      <c r="K30" s="14"/>
      <c r="L30" s="14"/>
      <c r="M30" s="10"/>
      <c r="N30" s="10"/>
      <c r="O30" s="1"/>
      <c r="P30" s="1"/>
      <c r="Q30" s="21"/>
      <c r="R30" s="70"/>
      <c r="S30" s="71">
        <f>Q28+R28</f>
        <v>3114636.9999999995</v>
      </c>
      <c r="T30" s="72"/>
    </row>
    <row r="31" spans="1:20" ht="13.5" thickBot="1" x14ac:dyDescent="0.25">
      <c r="A31" s="2"/>
      <c r="B31" s="5" t="s">
        <v>1</v>
      </c>
      <c r="C31" s="6">
        <f>C24+C26+C30</f>
        <v>18483</v>
      </c>
      <c r="D31" s="17"/>
      <c r="E31" s="17"/>
      <c r="F31" s="17"/>
      <c r="G31" s="17"/>
      <c r="H31" s="17"/>
      <c r="I31" s="17"/>
      <c r="J31" s="15"/>
      <c r="K31" s="15"/>
      <c r="L31" s="15"/>
      <c r="M31" s="11"/>
      <c r="N31" s="11"/>
      <c r="O31" s="2"/>
      <c r="P31" s="2"/>
      <c r="Q31" s="22"/>
      <c r="R31" s="11"/>
      <c r="S31" s="2"/>
      <c r="T31" s="22"/>
    </row>
    <row r="33" spans="13:14" x14ac:dyDescent="0.2">
      <c r="M33" s="42">
        <v>0.4</v>
      </c>
      <c r="N33" s="44">
        <f>I24*0.4</f>
        <v>-1245854.8</v>
      </c>
    </row>
    <row r="34" spans="13:14" x14ac:dyDescent="0.2">
      <c r="M34" s="45">
        <v>0.5</v>
      </c>
      <c r="N34" s="46">
        <f>I24*0.5</f>
        <v>-1557318.5</v>
      </c>
    </row>
    <row r="35" spans="13:14" x14ac:dyDescent="0.2">
      <c r="M35" s="42">
        <v>0.6</v>
      </c>
      <c r="N35" s="43">
        <f>I24*0.6</f>
        <v>-1868782.2</v>
      </c>
    </row>
    <row r="36" spans="13:14" x14ac:dyDescent="0.2">
      <c r="M36" s="42">
        <v>0.8</v>
      </c>
      <c r="N36" s="43">
        <f>I24*0.8</f>
        <v>-2491709.6</v>
      </c>
    </row>
    <row r="37" spans="13:14" x14ac:dyDescent="0.2">
      <c r="M37" s="42">
        <v>1</v>
      </c>
      <c r="N37" s="43">
        <f>I24*100/100</f>
        <v>-3114637</v>
      </c>
    </row>
  </sheetData>
  <mergeCells count="24">
    <mergeCell ref="J9:J14"/>
    <mergeCell ref="K9:K14"/>
    <mergeCell ref="E10:G10"/>
    <mergeCell ref="A9:A14"/>
    <mergeCell ref="I9:I14"/>
    <mergeCell ref="H9:H14"/>
    <mergeCell ref="E11:E14"/>
    <mergeCell ref="F11:F14"/>
    <mergeCell ref="O5:Q5"/>
    <mergeCell ref="C9:C14"/>
    <mergeCell ref="B9:B14"/>
    <mergeCell ref="P9:P14"/>
    <mergeCell ref="Q9:Q14"/>
    <mergeCell ref="D9:G9"/>
    <mergeCell ref="D10:D14"/>
    <mergeCell ref="O9:O14"/>
    <mergeCell ref="B7:T7"/>
    <mergeCell ref="R9:R14"/>
    <mergeCell ref="S9:S14"/>
    <mergeCell ref="T9:T14"/>
    <mergeCell ref="G11:G14"/>
    <mergeCell ref="M9:M14"/>
    <mergeCell ref="N9:N14"/>
    <mergeCell ref="L9:L14"/>
  </mergeCells>
  <phoneticPr fontId="1" type="noConversion"/>
  <pageMargins left="0" right="0" top="0" bottom="0" header="0" footer="0"/>
  <pageSetup paperSize="9" scale="6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7"/>
  <sheetViews>
    <sheetView zoomScale="91" zoomScaleNormal="91" zoomScaleSheetLayoutView="100" workbookViewId="0">
      <pane xSplit="2" ySplit="14" topLeftCell="E15" activePane="bottomRight" state="frozen"/>
      <selection pane="topRight" activeCell="C1" sqref="C1"/>
      <selection pane="bottomLeft" activeCell="A14" sqref="A14"/>
      <selection pane="bottomRight" activeCell="N24" sqref="N24"/>
    </sheetView>
  </sheetViews>
  <sheetFormatPr defaultRowHeight="12.75" x14ac:dyDescent="0.2"/>
  <cols>
    <col min="1" max="1" width="3.140625" customWidth="1"/>
    <col min="2" max="2" width="19.85546875" customWidth="1"/>
    <col min="3" max="3" width="9.28515625" customWidth="1"/>
    <col min="4" max="4" width="16.140625" customWidth="1"/>
    <col min="5" max="5" width="12.85546875" customWidth="1"/>
    <col min="6" max="6" width="14.42578125" customWidth="1"/>
    <col min="7" max="7" width="5.5703125" customWidth="1"/>
    <col min="8" max="8" width="13.7109375" customWidth="1"/>
    <col min="9" max="9" width="12.140625" customWidth="1"/>
    <col min="10" max="10" width="10.42578125" customWidth="1"/>
    <col min="11" max="11" width="10.140625" customWidth="1"/>
    <col min="12" max="12" width="14" customWidth="1"/>
    <col min="13" max="13" width="10" customWidth="1"/>
    <col min="14" max="14" width="11" customWidth="1"/>
    <col min="15" max="15" width="12.42578125" customWidth="1"/>
    <col min="16" max="16" width="6.28515625" hidden="1" customWidth="1"/>
    <col min="17" max="17" width="15.28515625" customWidth="1"/>
    <col min="18" max="18" width="15.42578125" customWidth="1"/>
    <col min="19" max="19" width="14.42578125" customWidth="1"/>
    <col min="20" max="20" width="0.85546875" hidden="1" customWidth="1"/>
  </cols>
  <sheetData>
    <row r="5" spans="1:20" x14ac:dyDescent="0.2">
      <c r="O5" s="98" t="s">
        <v>20</v>
      </c>
      <c r="P5" s="98"/>
      <c r="Q5" s="98"/>
    </row>
    <row r="7" spans="1:20" ht="33.75" customHeight="1" x14ac:dyDescent="0.2">
      <c r="B7" s="108" t="s">
        <v>35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</row>
    <row r="8" spans="1:20" ht="13.5" thickBot="1" x14ac:dyDescent="0.25">
      <c r="B8" s="8"/>
      <c r="C8" s="8"/>
      <c r="D8" s="8"/>
      <c r="E8" s="8"/>
      <c r="F8" s="8"/>
      <c r="G8" s="8"/>
      <c r="H8" s="8"/>
      <c r="I8" s="8"/>
      <c r="N8" s="12"/>
    </row>
    <row r="9" spans="1:20" ht="21.75" customHeight="1" thickBot="1" x14ac:dyDescent="0.25">
      <c r="A9" s="112"/>
      <c r="B9" s="99" t="s">
        <v>0</v>
      </c>
      <c r="C9" s="99" t="s">
        <v>5</v>
      </c>
      <c r="D9" s="105" t="s">
        <v>12</v>
      </c>
      <c r="E9" s="106"/>
      <c r="F9" s="106"/>
      <c r="G9" s="107"/>
      <c r="H9" s="99" t="s">
        <v>17</v>
      </c>
      <c r="I9" s="99" t="s">
        <v>19</v>
      </c>
      <c r="J9" s="99" t="s">
        <v>7</v>
      </c>
      <c r="K9" s="99" t="s">
        <v>8</v>
      </c>
      <c r="L9" s="99" t="s">
        <v>6</v>
      </c>
      <c r="M9" s="99" t="s">
        <v>11</v>
      </c>
      <c r="N9" s="99" t="s">
        <v>22</v>
      </c>
      <c r="O9" s="99" t="s">
        <v>9</v>
      </c>
      <c r="P9" s="99" t="s">
        <v>10</v>
      </c>
      <c r="Q9" s="102" t="s">
        <v>18</v>
      </c>
      <c r="R9" s="99" t="s">
        <v>21</v>
      </c>
      <c r="S9" s="99" t="s">
        <v>18</v>
      </c>
      <c r="T9" s="99" t="s">
        <v>21</v>
      </c>
    </row>
    <row r="10" spans="1:20" ht="20.25" customHeight="1" thickBot="1" x14ac:dyDescent="0.25">
      <c r="A10" s="113"/>
      <c r="B10" s="100"/>
      <c r="C10" s="100"/>
      <c r="D10" s="100" t="s">
        <v>1</v>
      </c>
      <c r="E10" s="105" t="s">
        <v>13</v>
      </c>
      <c r="F10" s="106"/>
      <c r="G10" s="107"/>
      <c r="H10" s="100"/>
      <c r="I10" s="100"/>
      <c r="J10" s="100"/>
      <c r="K10" s="100"/>
      <c r="L10" s="100"/>
      <c r="M10" s="100"/>
      <c r="N10" s="100"/>
      <c r="O10" s="100"/>
      <c r="P10" s="100"/>
      <c r="Q10" s="103"/>
      <c r="R10" s="100"/>
      <c r="S10" s="100"/>
      <c r="T10" s="100"/>
    </row>
    <row r="11" spans="1:20" ht="12.75" customHeight="1" x14ac:dyDescent="0.2">
      <c r="A11" s="113"/>
      <c r="B11" s="100"/>
      <c r="C11" s="100"/>
      <c r="D11" s="100"/>
      <c r="E11" s="109" t="s">
        <v>14</v>
      </c>
      <c r="F11" s="109" t="s">
        <v>15</v>
      </c>
      <c r="G11" s="109" t="s">
        <v>16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3"/>
      <c r="R11" s="100"/>
      <c r="S11" s="100"/>
      <c r="T11" s="100"/>
    </row>
    <row r="12" spans="1:20" x14ac:dyDescent="0.2">
      <c r="A12" s="113"/>
      <c r="B12" s="100"/>
      <c r="C12" s="100"/>
      <c r="D12" s="100"/>
      <c r="E12" s="110"/>
      <c r="F12" s="110"/>
      <c r="G12" s="110"/>
      <c r="H12" s="100"/>
      <c r="I12" s="100"/>
      <c r="J12" s="100"/>
      <c r="K12" s="100"/>
      <c r="L12" s="100"/>
      <c r="M12" s="100"/>
      <c r="N12" s="100"/>
      <c r="O12" s="100"/>
      <c r="P12" s="100"/>
      <c r="Q12" s="103"/>
      <c r="R12" s="100"/>
      <c r="S12" s="100"/>
      <c r="T12" s="100"/>
    </row>
    <row r="13" spans="1:20" ht="12.75" customHeight="1" x14ac:dyDescent="0.2">
      <c r="A13" s="113"/>
      <c r="B13" s="100"/>
      <c r="C13" s="100"/>
      <c r="D13" s="100"/>
      <c r="E13" s="110"/>
      <c r="F13" s="110"/>
      <c r="G13" s="110"/>
      <c r="H13" s="100"/>
      <c r="I13" s="100"/>
      <c r="J13" s="100"/>
      <c r="K13" s="100"/>
      <c r="L13" s="100"/>
      <c r="M13" s="100"/>
      <c r="N13" s="100"/>
      <c r="O13" s="100"/>
      <c r="P13" s="100"/>
      <c r="Q13" s="103"/>
      <c r="R13" s="100"/>
      <c r="S13" s="100"/>
      <c r="T13" s="100"/>
    </row>
    <row r="14" spans="1:20" ht="126.75" customHeight="1" thickBot="1" x14ac:dyDescent="0.25">
      <c r="A14" s="114"/>
      <c r="B14" s="101"/>
      <c r="C14" s="101"/>
      <c r="D14" s="101"/>
      <c r="E14" s="111"/>
      <c r="F14" s="111"/>
      <c r="G14" s="111"/>
      <c r="H14" s="101"/>
      <c r="I14" s="101"/>
      <c r="J14" s="101"/>
      <c r="K14" s="101"/>
      <c r="L14" s="101"/>
      <c r="M14" s="101"/>
      <c r="N14" s="101"/>
      <c r="O14" s="101"/>
      <c r="P14" s="101"/>
      <c r="Q14" s="104"/>
      <c r="R14" s="101"/>
      <c r="S14" s="101"/>
      <c r="T14" s="101"/>
    </row>
    <row r="15" spans="1:20" x14ac:dyDescent="0.2">
      <c r="A15" s="29">
        <v>1</v>
      </c>
      <c r="B15" s="95" t="s">
        <v>23</v>
      </c>
      <c r="C15" s="73">
        <f>'2021 год'!C15</f>
        <v>1315</v>
      </c>
      <c r="D15" s="74">
        <f>E15+F15+G15</f>
        <v>1314120</v>
      </c>
      <c r="E15" s="51">
        <v>1241800</v>
      </c>
      <c r="F15" s="51">
        <v>72320</v>
      </c>
      <c r="G15" s="18"/>
      <c r="H15" s="53">
        <v>1923265</v>
      </c>
      <c r="I15" s="53">
        <f>D15-H15</f>
        <v>-609145</v>
      </c>
      <c r="J15" s="40">
        <v>0.876</v>
      </c>
      <c r="K15" s="13">
        <v>0.98599999999999999</v>
      </c>
      <c r="L15" s="13">
        <f>J15/K15</f>
        <v>0.88843813387423931</v>
      </c>
      <c r="M15" s="32"/>
      <c r="N15" s="32"/>
      <c r="O15" s="65">
        <f>(D28/C28)*(M24-L15)*K15*C15</f>
        <v>-552351.73770491767</v>
      </c>
      <c r="P15" s="29"/>
      <c r="Q15" s="75">
        <f>N24*(O15/O24)</f>
        <v>181397.08575571692</v>
      </c>
      <c r="R15" s="76">
        <f>H15-D15-Q15</f>
        <v>427747.91424428311</v>
      </c>
      <c r="S15" s="93">
        <f t="shared" ref="S15:S24" si="0">Q15+R15</f>
        <v>609145</v>
      </c>
      <c r="T15" s="47"/>
    </row>
    <row r="16" spans="1:20" x14ac:dyDescent="0.2">
      <c r="A16" s="1">
        <v>2</v>
      </c>
      <c r="B16" s="96" t="s">
        <v>24</v>
      </c>
      <c r="C16" s="56">
        <f>'2021 год'!C16</f>
        <v>1132</v>
      </c>
      <c r="D16" s="50">
        <f t="shared" ref="D16:D23" si="1">E16+F16+G16</f>
        <v>2020156</v>
      </c>
      <c r="E16" s="52">
        <v>1957900</v>
      </c>
      <c r="F16" s="52">
        <v>62256</v>
      </c>
      <c r="G16" s="20"/>
      <c r="H16" s="55">
        <v>2155987</v>
      </c>
      <c r="I16" s="54">
        <f t="shared" ref="I16:I23" si="2">D16-H16</f>
        <v>-135831</v>
      </c>
      <c r="J16" s="41">
        <v>1.647</v>
      </c>
      <c r="K16" s="14">
        <v>1.016</v>
      </c>
      <c r="L16" s="14">
        <f t="shared" ref="L16:L23" si="3">J16/K16</f>
        <v>1.6210629921259843</v>
      </c>
      <c r="M16" s="10"/>
      <c r="N16" s="10"/>
      <c r="O16" s="63">
        <f>D28/C28*(M24-L16)*K16*C16</f>
        <v>-1962207.3852296704</v>
      </c>
      <c r="P16" s="1"/>
      <c r="Q16" s="49">
        <f>N24*(O16/O24)</f>
        <v>644405.86863720592</v>
      </c>
      <c r="R16" s="64">
        <f t="shared" ref="R16:R23" si="4">H16-D16-Q16</f>
        <v>-508574.86863720592</v>
      </c>
      <c r="S16" s="92">
        <f t="shared" si="0"/>
        <v>135831</v>
      </c>
      <c r="T16" s="49"/>
    </row>
    <row r="17" spans="1:20" x14ac:dyDescent="0.2">
      <c r="A17" s="1">
        <v>3</v>
      </c>
      <c r="B17" s="96" t="s">
        <v>25</v>
      </c>
      <c r="C17" s="56">
        <f>'2021 год'!C17</f>
        <v>1153</v>
      </c>
      <c r="D17" s="50">
        <f t="shared" si="1"/>
        <v>1898511</v>
      </c>
      <c r="E17" s="52">
        <v>1835100</v>
      </c>
      <c r="F17" s="52">
        <v>63411</v>
      </c>
      <c r="G17" s="20"/>
      <c r="H17" s="55">
        <v>2432583</v>
      </c>
      <c r="I17" s="54">
        <f t="shared" si="2"/>
        <v>-534072</v>
      </c>
      <c r="J17" s="41">
        <v>1.2490000000000001</v>
      </c>
      <c r="K17" s="14">
        <v>0.99199999999999999</v>
      </c>
      <c r="L17" s="14">
        <f t="shared" si="3"/>
        <v>1.2590725806451615</v>
      </c>
      <c r="M17" s="10"/>
      <c r="N17" s="10"/>
      <c r="O17" s="63">
        <f>D28/C28*(M24-L17)*K17*C17</f>
        <v>-1227962.5105285938</v>
      </c>
      <c r="P17" s="1"/>
      <c r="Q17" s="49">
        <f>N24*(O17/O24)</f>
        <v>403273.5042216155</v>
      </c>
      <c r="R17" s="64">
        <f t="shared" si="4"/>
        <v>130798.4957783845</v>
      </c>
      <c r="S17" s="92">
        <f t="shared" si="0"/>
        <v>534072</v>
      </c>
      <c r="T17" s="49"/>
    </row>
    <row r="18" spans="1:20" x14ac:dyDescent="0.2">
      <c r="A18" s="1">
        <v>4</v>
      </c>
      <c r="B18" s="96" t="s">
        <v>26</v>
      </c>
      <c r="C18" s="56">
        <f>'2021 год'!C18</f>
        <v>973</v>
      </c>
      <c r="D18" s="50">
        <f t="shared" si="1"/>
        <v>1674411</v>
      </c>
      <c r="E18" s="52">
        <v>1620900</v>
      </c>
      <c r="F18" s="52">
        <v>53511</v>
      </c>
      <c r="G18" s="20"/>
      <c r="H18" s="55">
        <v>2159186</v>
      </c>
      <c r="I18" s="54">
        <f t="shared" si="2"/>
        <v>-484775</v>
      </c>
      <c r="J18" s="41">
        <v>1.4079999999999999</v>
      </c>
      <c r="K18" s="14">
        <v>1.042</v>
      </c>
      <c r="L18" s="14">
        <f t="shared" si="3"/>
        <v>1.3512476007677543</v>
      </c>
      <c r="M18" s="10"/>
      <c r="N18" s="10"/>
      <c r="O18" s="63">
        <f>D28/C28*(M24-L18)*K18*C18</f>
        <v>-1251778.9926094247</v>
      </c>
      <c r="P18" s="1"/>
      <c r="Q18" s="49">
        <f>N24*(O18/O24)</f>
        <v>411095.04283099336</v>
      </c>
      <c r="R18" s="64">
        <f t="shared" si="4"/>
        <v>73679.957169006637</v>
      </c>
      <c r="S18" s="92">
        <f t="shared" si="0"/>
        <v>484775</v>
      </c>
      <c r="T18" s="49"/>
    </row>
    <row r="19" spans="1:20" ht="15" customHeight="1" x14ac:dyDescent="0.2">
      <c r="A19" s="1">
        <v>5</v>
      </c>
      <c r="B19" s="97" t="s">
        <v>27</v>
      </c>
      <c r="C19" s="57">
        <f>'2021 год'!C19</f>
        <v>1203</v>
      </c>
      <c r="D19" s="50">
        <f t="shared" si="1"/>
        <v>1850261</v>
      </c>
      <c r="E19" s="50">
        <v>1784100</v>
      </c>
      <c r="F19" s="50">
        <v>66161</v>
      </c>
      <c r="G19" s="19"/>
      <c r="H19" s="54">
        <v>2083424</v>
      </c>
      <c r="I19" s="54">
        <f t="shared" si="2"/>
        <v>-233163</v>
      </c>
      <c r="J19" s="41">
        <v>1.5349999999999999</v>
      </c>
      <c r="K19" s="14">
        <v>0.98199999999999998</v>
      </c>
      <c r="L19" s="14">
        <f t="shared" si="3"/>
        <v>1.5631364562118126</v>
      </c>
      <c r="M19" s="10"/>
      <c r="N19" s="10"/>
      <c r="O19" s="63">
        <f>D28/C28*(M24-L19)*K19*C19</f>
        <v>-1895927.4207271542</v>
      </c>
      <c r="P19" s="1"/>
      <c r="Q19" s="49">
        <f>N24*(O19/O24)</f>
        <v>622638.95530276862</v>
      </c>
      <c r="R19" s="64">
        <f t="shared" si="4"/>
        <v>-389475.95530276862</v>
      </c>
      <c r="S19" s="92">
        <f t="shared" si="0"/>
        <v>233163</v>
      </c>
      <c r="T19" s="49"/>
    </row>
    <row r="20" spans="1:20" x14ac:dyDescent="0.2">
      <c r="A20" s="1">
        <v>6</v>
      </c>
      <c r="B20" s="96" t="s">
        <v>28</v>
      </c>
      <c r="C20" s="56">
        <f>'2021 год'!C20</f>
        <v>1193</v>
      </c>
      <c r="D20" s="50">
        <f t="shared" si="1"/>
        <v>1165911</v>
      </c>
      <c r="E20" s="52">
        <v>1100300</v>
      </c>
      <c r="F20" s="52">
        <v>65611</v>
      </c>
      <c r="G20" s="20"/>
      <c r="H20" s="55">
        <v>1676771</v>
      </c>
      <c r="I20" s="54">
        <f t="shared" si="2"/>
        <v>-510860</v>
      </c>
      <c r="J20" s="41">
        <v>0.84099999999999997</v>
      </c>
      <c r="K20" s="14">
        <v>0.98699999999999999</v>
      </c>
      <c r="L20" s="14">
        <f t="shared" si="3"/>
        <v>0.85207700101317119</v>
      </c>
      <c r="M20" s="10"/>
      <c r="N20" s="10"/>
      <c r="O20" s="63">
        <f>D28/C28*(M24-L20)*K20*C20</f>
        <v>-426805.70618947112</v>
      </c>
      <c r="P20" s="1"/>
      <c r="Q20" s="49">
        <f>N24*(O20/O24)</f>
        <v>140166.68365772668</v>
      </c>
      <c r="R20" s="64">
        <f t="shared" si="4"/>
        <v>370693.31634227332</v>
      </c>
      <c r="S20" s="92">
        <f t="shared" si="0"/>
        <v>510860</v>
      </c>
      <c r="T20" s="49"/>
    </row>
    <row r="21" spans="1:20" x14ac:dyDescent="0.2">
      <c r="A21" s="1">
        <v>7</v>
      </c>
      <c r="B21" s="96" t="s">
        <v>33</v>
      </c>
      <c r="C21" s="56">
        <f>'2021 год'!C21</f>
        <v>962</v>
      </c>
      <c r="D21" s="50">
        <f t="shared" si="1"/>
        <v>1520407</v>
      </c>
      <c r="E21" s="52">
        <v>1467500</v>
      </c>
      <c r="F21" s="52">
        <v>52907</v>
      </c>
      <c r="G21" s="20"/>
      <c r="H21" s="55">
        <v>1756154</v>
      </c>
      <c r="I21" s="54">
        <f t="shared" si="2"/>
        <v>-235747</v>
      </c>
      <c r="J21" s="41">
        <v>1.046</v>
      </c>
      <c r="K21" s="14">
        <v>1.04</v>
      </c>
      <c r="L21" s="14">
        <f t="shared" si="3"/>
        <v>1.0057692307692307</v>
      </c>
      <c r="M21" s="10"/>
      <c r="N21" s="10"/>
      <c r="O21" s="63">
        <f>D28/C28*(M24-L21)*K21*C21</f>
        <v>-631316.07308337383</v>
      </c>
      <c r="P21" s="1"/>
      <c r="Q21" s="49">
        <f>N24*(O21/O24)</f>
        <v>207329.65614248966</v>
      </c>
      <c r="R21" s="64">
        <f t="shared" si="4"/>
        <v>28417.343857510336</v>
      </c>
      <c r="S21" s="92">
        <f t="shared" si="0"/>
        <v>235747</v>
      </c>
      <c r="T21" s="49"/>
    </row>
    <row r="22" spans="1:20" x14ac:dyDescent="0.2">
      <c r="A22" s="1">
        <v>8</v>
      </c>
      <c r="B22" s="96" t="s">
        <v>30</v>
      </c>
      <c r="C22" s="56">
        <f>'2021 год'!C22</f>
        <v>2255</v>
      </c>
      <c r="D22" s="50">
        <f t="shared" si="1"/>
        <v>2941017</v>
      </c>
      <c r="E22" s="52">
        <v>2817000</v>
      </c>
      <c r="F22" s="52">
        <v>124017</v>
      </c>
      <c r="G22" s="20"/>
      <c r="H22" s="55">
        <v>2941017</v>
      </c>
      <c r="I22" s="54">
        <f t="shared" si="2"/>
        <v>0</v>
      </c>
      <c r="J22" s="41">
        <v>0.88500000000000001</v>
      </c>
      <c r="K22" s="14">
        <v>0.92600000000000005</v>
      </c>
      <c r="L22" s="14">
        <f t="shared" si="3"/>
        <v>0.95572354211663069</v>
      </c>
      <c r="M22" s="10"/>
      <c r="N22" s="10"/>
      <c r="O22" s="63">
        <f>D28/C28*(M24-L22)*K22*C22</f>
        <v>-1135043.9101606882</v>
      </c>
      <c r="P22" s="1"/>
      <c r="Q22" s="49">
        <f>N24*(O22/O24)</f>
        <v>372758.23257736722</v>
      </c>
      <c r="R22" s="64">
        <f t="shared" si="4"/>
        <v>-372758.23257736722</v>
      </c>
      <c r="S22" s="92">
        <f t="shared" si="0"/>
        <v>0</v>
      </c>
      <c r="T22" s="49"/>
    </row>
    <row r="23" spans="1:20" ht="13.5" thickBot="1" x14ac:dyDescent="0.25">
      <c r="A23" s="1">
        <v>9</v>
      </c>
      <c r="B23" s="96" t="s">
        <v>31</v>
      </c>
      <c r="C23" s="56">
        <f>'2021 год'!C23</f>
        <v>1223</v>
      </c>
      <c r="D23" s="50">
        <f t="shared" si="1"/>
        <v>1803661</v>
      </c>
      <c r="E23" s="52">
        <v>1736400</v>
      </c>
      <c r="F23" s="52">
        <v>67261</v>
      </c>
      <c r="G23" s="20"/>
      <c r="H23" s="55">
        <v>2340625</v>
      </c>
      <c r="I23" s="54">
        <f t="shared" si="2"/>
        <v>-536964</v>
      </c>
      <c r="J23" s="41">
        <v>1.0549999999999999</v>
      </c>
      <c r="K23" s="14">
        <v>0.97899999999999998</v>
      </c>
      <c r="L23" s="14">
        <f t="shared" si="3"/>
        <v>1.0776302349336058</v>
      </c>
      <c r="M23" s="10"/>
      <c r="N23" s="10"/>
      <c r="O23" s="63">
        <f>D28/C28*(M24-L23)*K23*C23</f>
        <v>-905859.13429096993</v>
      </c>
      <c r="P23" s="1"/>
      <c r="Q23" s="49">
        <f>N24*(O23/O24)</f>
        <v>297491.97087411571</v>
      </c>
      <c r="R23" s="64">
        <f t="shared" si="4"/>
        <v>239472.02912588429</v>
      </c>
      <c r="S23" s="94">
        <f t="shared" si="0"/>
        <v>536964</v>
      </c>
      <c r="T23" s="49"/>
    </row>
    <row r="24" spans="1:20" ht="26.25" customHeight="1" thickBot="1" x14ac:dyDescent="0.25">
      <c r="A24" s="33"/>
      <c r="B24" s="77" t="s">
        <v>2</v>
      </c>
      <c r="C24" s="78">
        <f>'2021 год'!C24</f>
        <v>11409</v>
      </c>
      <c r="D24" s="79">
        <f t="shared" ref="D24:I24" si="5">SUM(D15:D23)</f>
        <v>16188455</v>
      </c>
      <c r="E24" s="79">
        <f t="shared" si="5"/>
        <v>15561000</v>
      </c>
      <c r="F24" s="79">
        <f t="shared" si="5"/>
        <v>627455</v>
      </c>
      <c r="G24" s="80">
        <f t="shared" si="5"/>
        <v>0</v>
      </c>
      <c r="H24" s="79">
        <f t="shared" si="5"/>
        <v>19469012</v>
      </c>
      <c r="I24" s="79">
        <f t="shared" si="5"/>
        <v>-3280557</v>
      </c>
      <c r="J24" s="81">
        <v>1.137</v>
      </c>
      <c r="K24" s="81"/>
      <c r="L24" s="81"/>
      <c r="M24" s="82">
        <f>L26</f>
        <v>0.64462809917355379</v>
      </c>
      <c r="N24" s="83">
        <f>I28*-1</f>
        <v>3280557</v>
      </c>
      <c r="O24" s="84">
        <f>SUM(O15:O23)</f>
        <v>-9989252.8705242649</v>
      </c>
      <c r="P24" s="85"/>
      <c r="Q24" s="84">
        <f>SUM(Q15:Q23)</f>
        <v>3280556.9999999995</v>
      </c>
      <c r="R24" s="84">
        <f>SUM(R15:R23)</f>
        <v>4.3655745685100555E-10</v>
      </c>
      <c r="S24" s="84">
        <f t="shared" si="0"/>
        <v>3280557</v>
      </c>
      <c r="T24" s="61">
        <f>SUM(T15:T23)</f>
        <v>0</v>
      </c>
    </row>
    <row r="25" spans="1:20" x14ac:dyDescent="0.2">
      <c r="A25" s="29"/>
      <c r="B25" s="30"/>
      <c r="C25" s="65">
        <f>'2021 год'!C25</f>
        <v>0</v>
      </c>
      <c r="D25" s="24"/>
      <c r="E25" s="24"/>
      <c r="F25" s="24"/>
      <c r="G25" s="24"/>
      <c r="H25" s="62"/>
      <c r="I25" s="62"/>
      <c r="J25" s="13"/>
      <c r="K25" s="13"/>
      <c r="L25" s="13"/>
      <c r="M25" s="32"/>
      <c r="N25" s="32"/>
      <c r="O25" s="29"/>
      <c r="P25" s="29"/>
      <c r="Q25" s="38"/>
      <c r="R25" s="62"/>
      <c r="S25" s="65"/>
      <c r="T25" s="66"/>
    </row>
    <row r="26" spans="1:20" x14ac:dyDescent="0.2">
      <c r="A26" s="1">
        <v>10</v>
      </c>
      <c r="B26" s="4" t="s">
        <v>32</v>
      </c>
      <c r="C26" s="58">
        <f>'2021 год'!C26</f>
        <v>7074</v>
      </c>
      <c r="D26" s="54">
        <f>E26+F26+G26</f>
        <v>16106445</v>
      </c>
      <c r="E26" s="59">
        <v>15717400</v>
      </c>
      <c r="F26" s="59">
        <v>389045</v>
      </c>
      <c r="G26" s="16"/>
      <c r="H26" s="59">
        <v>16106445</v>
      </c>
      <c r="I26" s="54">
        <f>D26-H26</f>
        <v>0</v>
      </c>
      <c r="J26" s="14">
        <v>0.78</v>
      </c>
      <c r="K26" s="14">
        <v>1.21</v>
      </c>
      <c r="L26" s="14">
        <f>J26/K26</f>
        <v>0.64462809917355379</v>
      </c>
      <c r="M26" s="10"/>
      <c r="N26" s="23">
        <v>1</v>
      </c>
      <c r="O26" s="9">
        <f>D31/C31*(M27-L26)*K26*C26</f>
        <v>0</v>
      </c>
      <c r="P26" s="1"/>
      <c r="Q26" s="39">
        <f>N28*(1-P28)*(O26/O28)</f>
        <v>0</v>
      </c>
      <c r="R26" s="64">
        <f>H26-D26-Q26</f>
        <v>0</v>
      </c>
      <c r="S26" s="48"/>
      <c r="T26" s="49"/>
    </row>
    <row r="27" spans="1:20" ht="13.5" thickBot="1" x14ac:dyDescent="0.25">
      <c r="A27" s="26"/>
      <c r="B27" s="4"/>
      <c r="C27" s="58">
        <f>'2021 год'!C27</f>
        <v>0</v>
      </c>
      <c r="D27" s="60"/>
      <c r="E27" s="60"/>
      <c r="F27" s="60"/>
      <c r="G27" s="16"/>
      <c r="H27" s="60"/>
      <c r="I27" s="60"/>
      <c r="J27" s="27"/>
      <c r="K27" s="27"/>
      <c r="L27" s="27"/>
      <c r="M27" s="28"/>
      <c r="N27" s="28"/>
      <c r="O27" s="26"/>
      <c r="P27" s="26"/>
      <c r="Q27" s="34"/>
      <c r="R27" s="67"/>
      <c r="S27" s="68"/>
      <c r="T27" s="66"/>
    </row>
    <row r="28" spans="1:20" ht="13.5" thickBot="1" x14ac:dyDescent="0.25">
      <c r="A28" s="33"/>
      <c r="B28" s="86" t="s">
        <v>4</v>
      </c>
      <c r="C28" s="84">
        <f>'2021 год'!C28</f>
        <v>18483</v>
      </c>
      <c r="D28" s="83">
        <f t="shared" ref="D28:I28" si="6">D24+D26</f>
        <v>32294900</v>
      </c>
      <c r="E28" s="83">
        <f t="shared" si="6"/>
        <v>31278400</v>
      </c>
      <c r="F28" s="83">
        <f t="shared" si="6"/>
        <v>1016500</v>
      </c>
      <c r="G28" s="87">
        <f t="shared" si="6"/>
        <v>0</v>
      </c>
      <c r="H28" s="83">
        <f t="shared" si="6"/>
        <v>35575457</v>
      </c>
      <c r="I28" s="83">
        <f t="shared" si="6"/>
        <v>-3280557</v>
      </c>
      <c r="J28" s="88">
        <v>1</v>
      </c>
      <c r="K28" s="88">
        <v>1</v>
      </c>
      <c r="L28" s="88"/>
      <c r="M28" s="89"/>
      <c r="N28" s="89"/>
      <c r="O28" s="90">
        <f>O24+O26</f>
        <v>-9989252.8705242649</v>
      </c>
      <c r="P28" s="85"/>
      <c r="Q28" s="91">
        <f>Q24</f>
        <v>3280556.9999999995</v>
      </c>
      <c r="R28" s="84">
        <f>R24</f>
        <v>4.3655745685100555E-10</v>
      </c>
      <c r="S28" s="84">
        <f>S24+S26</f>
        <v>3280557</v>
      </c>
      <c r="T28" s="69"/>
    </row>
    <row r="29" spans="1:20" x14ac:dyDescent="0.2">
      <c r="A29" s="29"/>
      <c r="B29" s="35"/>
      <c r="C29" s="36"/>
      <c r="D29" s="37"/>
      <c r="E29" s="37"/>
      <c r="F29" s="37"/>
      <c r="G29" s="37"/>
      <c r="H29" s="37"/>
      <c r="I29" s="37"/>
      <c r="J29" s="13"/>
      <c r="K29" s="13"/>
      <c r="L29" s="13"/>
      <c r="M29" s="32"/>
      <c r="N29" s="32"/>
      <c r="O29" s="29"/>
      <c r="P29" s="29"/>
      <c r="Q29" s="25"/>
      <c r="R29" s="62"/>
      <c r="S29" s="65"/>
      <c r="T29" s="66"/>
    </row>
    <row r="30" spans="1:20" x14ac:dyDescent="0.2">
      <c r="A30" s="1"/>
      <c r="B30" s="3" t="s">
        <v>3</v>
      </c>
      <c r="C30" s="7"/>
      <c r="D30" s="16"/>
      <c r="E30" s="16"/>
      <c r="F30" s="16"/>
      <c r="G30" s="16"/>
      <c r="H30" s="16"/>
      <c r="I30" s="16"/>
      <c r="J30" s="14"/>
      <c r="K30" s="14"/>
      <c r="L30" s="14"/>
      <c r="M30" s="10"/>
      <c r="N30" s="10"/>
      <c r="O30" s="1"/>
      <c r="P30" s="1"/>
      <c r="Q30" s="21"/>
      <c r="R30" s="70"/>
      <c r="S30" s="71">
        <f>Q28+R28</f>
        <v>3280557</v>
      </c>
      <c r="T30" s="72"/>
    </row>
    <row r="31" spans="1:20" ht="13.5" thickBot="1" x14ac:dyDescent="0.25">
      <c r="A31" s="2"/>
      <c r="B31" s="5" t="s">
        <v>1</v>
      </c>
      <c r="C31" s="6">
        <f>C24+C26+C30</f>
        <v>18483</v>
      </c>
      <c r="D31" s="17"/>
      <c r="E31" s="17"/>
      <c r="F31" s="17"/>
      <c r="G31" s="17"/>
      <c r="H31" s="17"/>
      <c r="I31" s="17"/>
      <c r="J31" s="15"/>
      <c r="K31" s="15"/>
      <c r="L31" s="15"/>
      <c r="M31" s="11"/>
      <c r="N31" s="11"/>
      <c r="O31" s="2"/>
      <c r="P31" s="2"/>
      <c r="Q31" s="22"/>
      <c r="R31" s="11"/>
      <c r="S31" s="2"/>
      <c r="T31" s="22"/>
    </row>
    <row r="33" spans="13:14" x14ac:dyDescent="0.2">
      <c r="M33" s="42">
        <v>0.4</v>
      </c>
      <c r="N33" s="44">
        <f>I24*0.4</f>
        <v>-1312222.8</v>
      </c>
    </row>
    <row r="34" spans="13:14" x14ac:dyDescent="0.2">
      <c r="M34" s="45">
        <v>0.5</v>
      </c>
      <c r="N34" s="46">
        <f>I24*0.5</f>
        <v>-1640278.5</v>
      </c>
    </row>
    <row r="35" spans="13:14" x14ac:dyDescent="0.2">
      <c r="M35" s="42">
        <v>0.6</v>
      </c>
      <c r="N35" s="43">
        <f>I24*0.6</f>
        <v>-1968334.2</v>
      </c>
    </row>
    <row r="36" spans="13:14" x14ac:dyDescent="0.2">
      <c r="M36" s="42">
        <v>0.8</v>
      </c>
      <c r="N36" s="43">
        <f>I24*0.8</f>
        <v>-2624445.6</v>
      </c>
    </row>
    <row r="37" spans="13:14" x14ac:dyDescent="0.2">
      <c r="M37" s="42">
        <v>1</v>
      </c>
      <c r="N37" s="43">
        <f>I24*100/100</f>
        <v>-3280557</v>
      </c>
    </row>
  </sheetData>
  <mergeCells count="24">
    <mergeCell ref="O9:O14"/>
    <mergeCell ref="P9:P14"/>
    <mergeCell ref="Q9:Q14"/>
    <mergeCell ref="F11:F14"/>
    <mergeCell ref="G11:G14"/>
    <mergeCell ref="L9:L14"/>
    <mergeCell ref="M9:M14"/>
    <mergeCell ref="N9:N14"/>
    <mergeCell ref="O5:Q5"/>
    <mergeCell ref="B7:T7"/>
    <mergeCell ref="A9:A14"/>
    <mergeCell ref="B9:B14"/>
    <mergeCell ref="C9:C14"/>
    <mergeCell ref="D9:G9"/>
    <mergeCell ref="H9:H14"/>
    <mergeCell ref="I9:I14"/>
    <mergeCell ref="J9:J14"/>
    <mergeCell ref="K9:K14"/>
    <mergeCell ref="R9:R14"/>
    <mergeCell ref="S9:S14"/>
    <mergeCell ref="T9:T14"/>
    <mergeCell ref="D10:D14"/>
    <mergeCell ref="E10:G10"/>
    <mergeCell ref="E11:E14"/>
  </mergeCells>
  <pageMargins left="0" right="0" top="0" bottom="0" header="0" footer="0"/>
  <pageSetup paperSize="9" scale="67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5:T37"/>
  <sheetViews>
    <sheetView tabSelected="1" view="pageBreakPreview" zoomScaleNormal="91" zoomScaleSheetLayoutView="100" workbookViewId="0">
      <pane xSplit="2" ySplit="14" topLeftCell="E16" activePane="bottomRight" state="frozen"/>
      <selection pane="topRight" activeCell="C1" sqref="C1"/>
      <selection pane="bottomLeft" activeCell="A14" sqref="A14"/>
      <selection pane="bottomRight" activeCell="N24" sqref="N24"/>
    </sheetView>
  </sheetViews>
  <sheetFormatPr defaultRowHeight="12.75" x14ac:dyDescent="0.2"/>
  <cols>
    <col min="1" max="1" width="3.140625" customWidth="1"/>
    <col min="2" max="2" width="19.85546875" customWidth="1"/>
    <col min="3" max="3" width="9.28515625" customWidth="1"/>
    <col min="4" max="4" width="13.85546875" customWidth="1"/>
    <col min="5" max="5" width="12.85546875" customWidth="1"/>
    <col min="6" max="6" width="14.42578125" customWidth="1"/>
    <col min="7" max="7" width="5.5703125" customWidth="1"/>
    <col min="8" max="8" width="13.7109375" customWidth="1"/>
    <col min="9" max="9" width="12.140625" customWidth="1"/>
    <col min="10" max="10" width="10.42578125" customWidth="1"/>
    <col min="11" max="11" width="10.140625" customWidth="1"/>
    <col min="12" max="12" width="14" customWidth="1"/>
    <col min="13" max="13" width="10" customWidth="1"/>
    <col min="14" max="14" width="11" customWidth="1"/>
    <col min="15" max="15" width="12.7109375" customWidth="1"/>
    <col min="16" max="16" width="6.28515625" hidden="1" customWidth="1"/>
    <col min="17" max="17" width="15.28515625" customWidth="1"/>
    <col min="18" max="18" width="15.42578125" customWidth="1"/>
    <col min="19" max="19" width="14.42578125" customWidth="1"/>
    <col min="20" max="20" width="0.85546875" hidden="1" customWidth="1"/>
  </cols>
  <sheetData>
    <row r="5" spans="1:20" x14ac:dyDescent="0.2">
      <c r="O5" s="98" t="s">
        <v>20</v>
      </c>
      <c r="P5" s="98"/>
      <c r="Q5" s="98"/>
    </row>
    <row r="7" spans="1:20" ht="33.75" customHeight="1" x14ac:dyDescent="0.2">
      <c r="B7" s="108" t="s">
        <v>36</v>
      </c>
      <c r="C7" s="108"/>
      <c r="D7" s="108"/>
      <c r="E7" s="108"/>
      <c r="F7" s="108"/>
      <c r="G7" s="108"/>
      <c r="H7" s="108"/>
      <c r="I7" s="108"/>
      <c r="J7" s="108"/>
      <c r="K7" s="108"/>
      <c r="L7" s="108"/>
      <c r="M7" s="108"/>
      <c r="N7" s="108"/>
      <c r="O7" s="108"/>
      <c r="P7" s="108"/>
      <c r="Q7" s="108"/>
      <c r="R7" s="108"/>
      <c r="S7" s="108"/>
      <c r="T7" s="108"/>
    </row>
    <row r="8" spans="1:20" ht="13.5" thickBot="1" x14ac:dyDescent="0.25">
      <c r="B8" s="8"/>
      <c r="C8" s="8"/>
      <c r="D8" s="8"/>
      <c r="E8" s="8"/>
      <c r="F8" s="8"/>
      <c r="G8" s="8"/>
      <c r="H8" s="8"/>
      <c r="I8" s="8"/>
      <c r="N8" s="12"/>
    </row>
    <row r="9" spans="1:20" ht="21.75" customHeight="1" thickBot="1" x14ac:dyDescent="0.25">
      <c r="A9" s="112"/>
      <c r="B9" s="99" t="s">
        <v>0</v>
      </c>
      <c r="C9" s="99" t="s">
        <v>5</v>
      </c>
      <c r="D9" s="105" t="s">
        <v>12</v>
      </c>
      <c r="E9" s="106"/>
      <c r="F9" s="106"/>
      <c r="G9" s="107"/>
      <c r="H9" s="99" t="s">
        <v>17</v>
      </c>
      <c r="I9" s="99" t="s">
        <v>19</v>
      </c>
      <c r="J9" s="99" t="s">
        <v>7</v>
      </c>
      <c r="K9" s="99" t="s">
        <v>8</v>
      </c>
      <c r="L9" s="99" t="s">
        <v>6</v>
      </c>
      <c r="M9" s="99" t="s">
        <v>11</v>
      </c>
      <c r="N9" s="99" t="s">
        <v>22</v>
      </c>
      <c r="O9" s="99" t="s">
        <v>9</v>
      </c>
      <c r="P9" s="99" t="s">
        <v>10</v>
      </c>
      <c r="Q9" s="102" t="s">
        <v>18</v>
      </c>
      <c r="R9" s="99" t="s">
        <v>21</v>
      </c>
      <c r="S9" s="99" t="s">
        <v>18</v>
      </c>
      <c r="T9" s="99" t="s">
        <v>21</v>
      </c>
    </row>
    <row r="10" spans="1:20" ht="20.25" customHeight="1" thickBot="1" x14ac:dyDescent="0.25">
      <c r="A10" s="113"/>
      <c r="B10" s="100"/>
      <c r="C10" s="100"/>
      <c r="D10" s="100" t="s">
        <v>1</v>
      </c>
      <c r="E10" s="105" t="s">
        <v>13</v>
      </c>
      <c r="F10" s="106"/>
      <c r="G10" s="107"/>
      <c r="H10" s="100"/>
      <c r="I10" s="100"/>
      <c r="J10" s="100"/>
      <c r="K10" s="100"/>
      <c r="L10" s="100"/>
      <c r="M10" s="100"/>
      <c r="N10" s="100"/>
      <c r="O10" s="100"/>
      <c r="P10" s="100"/>
      <c r="Q10" s="103"/>
      <c r="R10" s="100"/>
      <c r="S10" s="100"/>
      <c r="T10" s="100"/>
    </row>
    <row r="11" spans="1:20" ht="12.75" customHeight="1" x14ac:dyDescent="0.2">
      <c r="A11" s="113"/>
      <c r="B11" s="100"/>
      <c r="C11" s="100"/>
      <c r="D11" s="100"/>
      <c r="E11" s="109" t="s">
        <v>14</v>
      </c>
      <c r="F11" s="109" t="s">
        <v>15</v>
      </c>
      <c r="G11" s="109" t="s">
        <v>16</v>
      </c>
      <c r="H11" s="100"/>
      <c r="I11" s="100"/>
      <c r="J11" s="100"/>
      <c r="K11" s="100"/>
      <c r="L11" s="100"/>
      <c r="M11" s="100"/>
      <c r="N11" s="100"/>
      <c r="O11" s="100"/>
      <c r="P11" s="100"/>
      <c r="Q11" s="103"/>
      <c r="R11" s="100"/>
      <c r="S11" s="100"/>
      <c r="T11" s="100"/>
    </row>
    <row r="12" spans="1:20" x14ac:dyDescent="0.2">
      <c r="A12" s="113"/>
      <c r="B12" s="100"/>
      <c r="C12" s="100"/>
      <c r="D12" s="100"/>
      <c r="E12" s="110"/>
      <c r="F12" s="110"/>
      <c r="G12" s="110"/>
      <c r="H12" s="100"/>
      <c r="I12" s="100"/>
      <c r="J12" s="100"/>
      <c r="K12" s="100"/>
      <c r="L12" s="100"/>
      <c r="M12" s="100"/>
      <c r="N12" s="100"/>
      <c r="O12" s="100"/>
      <c r="P12" s="100"/>
      <c r="Q12" s="103"/>
      <c r="R12" s="100"/>
      <c r="S12" s="100"/>
      <c r="T12" s="100"/>
    </row>
    <row r="13" spans="1:20" ht="12.75" customHeight="1" x14ac:dyDescent="0.2">
      <c r="A13" s="113"/>
      <c r="B13" s="100"/>
      <c r="C13" s="100"/>
      <c r="D13" s="100"/>
      <c r="E13" s="110"/>
      <c r="F13" s="110"/>
      <c r="G13" s="110"/>
      <c r="H13" s="100"/>
      <c r="I13" s="100"/>
      <c r="J13" s="100"/>
      <c r="K13" s="100"/>
      <c r="L13" s="100"/>
      <c r="M13" s="100"/>
      <c r="N13" s="100"/>
      <c r="O13" s="100"/>
      <c r="P13" s="100"/>
      <c r="Q13" s="103"/>
      <c r="R13" s="100"/>
      <c r="S13" s="100"/>
      <c r="T13" s="100"/>
    </row>
    <row r="14" spans="1:20" ht="126.75" customHeight="1" thickBot="1" x14ac:dyDescent="0.25">
      <c r="A14" s="114"/>
      <c r="B14" s="101"/>
      <c r="C14" s="101"/>
      <c r="D14" s="101"/>
      <c r="E14" s="111"/>
      <c r="F14" s="111"/>
      <c r="G14" s="111"/>
      <c r="H14" s="101"/>
      <c r="I14" s="101"/>
      <c r="J14" s="101"/>
      <c r="K14" s="101"/>
      <c r="L14" s="101"/>
      <c r="M14" s="101"/>
      <c r="N14" s="101"/>
      <c r="O14" s="101"/>
      <c r="P14" s="101"/>
      <c r="Q14" s="104"/>
      <c r="R14" s="101"/>
      <c r="S14" s="101"/>
      <c r="T14" s="101"/>
    </row>
    <row r="15" spans="1:20" x14ac:dyDescent="0.2">
      <c r="A15" s="29">
        <v>1</v>
      </c>
      <c r="B15" s="95" t="s">
        <v>23</v>
      </c>
      <c r="C15" s="73">
        <f>'2022 год'!C15</f>
        <v>1315</v>
      </c>
      <c r="D15" s="74">
        <f>E15+F15+G15</f>
        <v>1333135</v>
      </c>
      <c r="E15" s="51">
        <v>1259100</v>
      </c>
      <c r="F15" s="51">
        <v>74035</v>
      </c>
      <c r="G15" s="18"/>
      <c r="H15" s="53">
        <v>1945183</v>
      </c>
      <c r="I15" s="53">
        <f>D15-H15</f>
        <v>-612048</v>
      </c>
      <c r="J15" s="40">
        <v>0.86699999999999999</v>
      </c>
      <c r="K15" s="13">
        <v>0.97899999999999998</v>
      </c>
      <c r="L15" s="13">
        <f>J15/K15</f>
        <v>0.88559754851889683</v>
      </c>
      <c r="M15" s="32"/>
      <c r="N15" s="32"/>
      <c r="O15" s="65">
        <f>(D28/C28)*(M24-L15)*K15*C15</f>
        <v>-270129.44330739195</v>
      </c>
      <c r="P15" s="29"/>
      <c r="Q15" s="75">
        <f>N24*(O15/O24)</f>
        <v>118026.39815440156</v>
      </c>
      <c r="R15" s="76">
        <f>H15-D15-Q15</f>
        <v>494021.60184559843</v>
      </c>
      <c r="S15" s="93">
        <f t="shared" ref="S15:S24" si="0">Q15+R15</f>
        <v>612048</v>
      </c>
      <c r="T15" s="47"/>
    </row>
    <row r="16" spans="1:20" x14ac:dyDescent="0.2">
      <c r="A16" s="1">
        <v>2</v>
      </c>
      <c r="B16" s="96" t="s">
        <v>24</v>
      </c>
      <c r="C16" s="56">
        <f>'2022 год'!C16</f>
        <v>1132</v>
      </c>
      <c r="D16" s="50">
        <f t="shared" ref="D16:D23" si="1">E16+F16+G16</f>
        <v>2064032</v>
      </c>
      <c r="E16" s="52">
        <v>2000300</v>
      </c>
      <c r="F16" s="52">
        <v>63732</v>
      </c>
      <c r="G16" s="20"/>
      <c r="H16" s="55">
        <v>2234901</v>
      </c>
      <c r="I16" s="54">
        <f t="shared" ref="I16:I23" si="2">D16-H16</f>
        <v>-170869</v>
      </c>
      <c r="J16" s="41">
        <v>1.64</v>
      </c>
      <c r="K16" s="14">
        <v>1.008</v>
      </c>
      <c r="L16" s="14">
        <f t="shared" ref="L16:L23" si="3">J16/K16</f>
        <v>1.626984126984127</v>
      </c>
      <c r="M16" s="10"/>
      <c r="N16" s="10"/>
      <c r="O16" s="63">
        <f>D28/C28*(M24-L16)*K16*C16</f>
        <v>-1769730.3342526781</v>
      </c>
      <c r="P16" s="1"/>
      <c r="Q16" s="49">
        <f>N24*(O16/O24)</f>
        <v>773240.0233718357</v>
      </c>
      <c r="R16" s="64">
        <f t="shared" ref="R16:R23" si="4">H16-D16-Q16</f>
        <v>-602371.0233718357</v>
      </c>
      <c r="S16" s="92">
        <f t="shared" si="0"/>
        <v>170869</v>
      </c>
      <c r="T16" s="49"/>
    </row>
    <row r="17" spans="1:20" x14ac:dyDescent="0.2">
      <c r="A17" s="1">
        <v>3</v>
      </c>
      <c r="B17" s="96" t="s">
        <v>25</v>
      </c>
      <c r="C17" s="56">
        <f>'2022 год'!C17</f>
        <v>1153</v>
      </c>
      <c r="D17" s="50">
        <f t="shared" si="1"/>
        <v>1927314</v>
      </c>
      <c r="E17" s="52">
        <v>1862400</v>
      </c>
      <c r="F17" s="52">
        <v>64914</v>
      </c>
      <c r="G17" s="20"/>
      <c r="H17" s="55">
        <v>2544349</v>
      </c>
      <c r="I17" s="54">
        <f t="shared" si="2"/>
        <v>-617035</v>
      </c>
      <c r="J17" s="41">
        <v>1.236</v>
      </c>
      <c r="K17" s="14">
        <v>0.98399999999999999</v>
      </c>
      <c r="L17" s="14">
        <f t="shared" si="3"/>
        <v>1.2560975609756098</v>
      </c>
      <c r="M17" s="10"/>
      <c r="N17" s="10"/>
      <c r="O17" s="63">
        <f>D28/C28*(M24-L17)*K17*C17</f>
        <v>-998455.17855554842</v>
      </c>
      <c r="P17" s="1"/>
      <c r="Q17" s="49">
        <f>N24*(O17/O24)</f>
        <v>436250.36575306382</v>
      </c>
      <c r="R17" s="64">
        <f t="shared" si="4"/>
        <v>180784.63424693618</v>
      </c>
      <c r="S17" s="92">
        <f t="shared" si="0"/>
        <v>617035</v>
      </c>
      <c r="T17" s="49"/>
    </row>
    <row r="18" spans="1:20" x14ac:dyDescent="0.2">
      <c r="A18" s="1">
        <v>4</v>
      </c>
      <c r="B18" s="96" t="s">
        <v>26</v>
      </c>
      <c r="C18" s="56">
        <f>'2022 год'!C18</f>
        <v>973</v>
      </c>
      <c r="D18" s="50">
        <f t="shared" si="1"/>
        <v>1711681</v>
      </c>
      <c r="E18" s="52">
        <v>1656900</v>
      </c>
      <c r="F18" s="52">
        <v>54781</v>
      </c>
      <c r="G18" s="20"/>
      <c r="H18" s="55">
        <v>2209895</v>
      </c>
      <c r="I18" s="54">
        <f t="shared" si="2"/>
        <v>-498214</v>
      </c>
      <c r="J18" s="41">
        <v>1.4059999999999999</v>
      </c>
      <c r="K18" s="14">
        <v>1.0329999999999999</v>
      </c>
      <c r="L18" s="14">
        <f t="shared" si="3"/>
        <v>1.36108422071636</v>
      </c>
      <c r="M18" s="10"/>
      <c r="N18" s="10"/>
      <c r="O18" s="63">
        <f>D28/C28*(M24-L18)*K18*C18</f>
        <v>-1075425.4668830812</v>
      </c>
      <c r="P18" s="1"/>
      <c r="Q18" s="49">
        <f>N24*(O18/O24)</f>
        <v>469880.6349491055</v>
      </c>
      <c r="R18" s="64">
        <f t="shared" si="4"/>
        <v>28333.365050894499</v>
      </c>
      <c r="S18" s="92">
        <f t="shared" si="0"/>
        <v>498214</v>
      </c>
      <c r="T18" s="49"/>
    </row>
    <row r="19" spans="1:20" ht="15" customHeight="1" x14ac:dyDescent="0.2">
      <c r="A19" s="1">
        <v>5</v>
      </c>
      <c r="B19" s="97" t="s">
        <v>27</v>
      </c>
      <c r="C19" s="57">
        <f>'2022 год'!C19</f>
        <v>1203</v>
      </c>
      <c r="D19" s="50">
        <f t="shared" si="1"/>
        <v>1872129</v>
      </c>
      <c r="E19" s="50">
        <v>1804400</v>
      </c>
      <c r="F19" s="50">
        <v>67729</v>
      </c>
      <c r="G19" s="19"/>
      <c r="H19" s="54">
        <v>2117260</v>
      </c>
      <c r="I19" s="54">
        <f t="shared" si="2"/>
        <v>-245131</v>
      </c>
      <c r="J19" s="41">
        <v>1.518</v>
      </c>
      <c r="K19" s="14">
        <v>0.97399999999999998</v>
      </c>
      <c r="L19" s="14">
        <f t="shared" si="3"/>
        <v>1.5585215605749487</v>
      </c>
      <c r="M19" s="10"/>
      <c r="N19" s="10"/>
      <c r="O19" s="63">
        <f>D28/C28*(M24-L19)*K19*C19</f>
        <v>-1672179.7899423235</v>
      </c>
      <c r="P19" s="1"/>
      <c r="Q19" s="49">
        <f>N24*(O19/O24)</f>
        <v>730617.71888705308</v>
      </c>
      <c r="R19" s="64">
        <f t="shared" si="4"/>
        <v>-485486.71888705308</v>
      </c>
      <c r="S19" s="92">
        <f t="shared" si="0"/>
        <v>245131</v>
      </c>
      <c r="T19" s="49"/>
    </row>
    <row r="20" spans="1:20" x14ac:dyDescent="0.2">
      <c r="A20" s="1">
        <v>6</v>
      </c>
      <c r="B20" s="96" t="s">
        <v>28</v>
      </c>
      <c r="C20" s="56">
        <f>'2022 год'!C20</f>
        <v>1193</v>
      </c>
      <c r="D20" s="50">
        <f t="shared" si="1"/>
        <v>1181766</v>
      </c>
      <c r="E20" s="52">
        <v>1114600</v>
      </c>
      <c r="F20" s="52">
        <v>67166</v>
      </c>
      <c r="G20" s="20"/>
      <c r="H20" s="55">
        <v>1659103</v>
      </c>
      <c r="I20" s="54">
        <f t="shared" si="2"/>
        <v>-477337</v>
      </c>
      <c r="J20" s="41">
        <v>0.83299999999999996</v>
      </c>
      <c r="K20" s="14">
        <v>0.97899999999999998</v>
      </c>
      <c r="L20" s="14">
        <f t="shared" si="3"/>
        <v>0.85086823289070479</v>
      </c>
      <c r="M20" s="10"/>
      <c r="N20" s="10"/>
      <c r="O20" s="63">
        <f>D28/C28*(M24-L20)*K20*C20</f>
        <v>-171693.42470625363</v>
      </c>
      <c r="P20" s="1"/>
      <c r="Q20" s="49">
        <f>N24*(O20/O24)</f>
        <v>75017.207516373441</v>
      </c>
      <c r="R20" s="64">
        <f t="shared" si="4"/>
        <v>402319.79248362657</v>
      </c>
      <c r="S20" s="92">
        <f t="shared" si="0"/>
        <v>477337</v>
      </c>
      <c r="T20" s="49"/>
    </row>
    <row r="21" spans="1:20" x14ac:dyDescent="0.2">
      <c r="A21" s="1">
        <v>7</v>
      </c>
      <c r="B21" s="96" t="s">
        <v>33</v>
      </c>
      <c r="C21" s="56">
        <f>'2022 год'!C21</f>
        <v>962</v>
      </c>
      <c r="D21" s="50">
        <f t="shared" si="1"/>
        <v>1534362</v>
      </c>
      <c r="E21" s="52">
        <v>1480200</v>
      </c>
      <c r="F21" s="52">
        <v>54162</v>
      </c>
      <c r="G21" s="20"/>
      <c r="H21" s="55">
        <v>1756154</v>
      </c>
      <c r="I21" s="54">
        <f t="shared" si="2"/>
        <v>-221792</v>
      </c>
      <c r="J21" s="41">
        <v>1.032</v>
      </c>
      <c r="K21" s="14">
        <v>1.0309999999999999</v>
      </c>
      <c r="L21" s="14">
        <f t="shared" si="3"/>
        <v>1.0009699321047527</v>
      </c>
      <c r="M21" s="10"/>
      <c r="N21" s="10"/>
      <c r="O21" s="63">
        <f>D28/C28*(M24-L21)*K21*C21</f>
        <v>-415108.00446665625</v>
      </c>
      <c r="P21" s="1"/>
      <c r="Q21" s="49">
        <f>N24*(O21/O24)</f>
        <v>181371.20490234238</v>
      </c>
      <c r="R21" s="64">
        <f t="shared" si="4"/>
        <v>40420.795097657625</v>
      </c>
      <c r="S21" s="92">
        <f t="shared" si="0"/>
        <v>221792</v>
      </c>
      <c r="T21" s="49"/>
    </row>
    <row r="22" spans="1:20" x14ac:dyDescent="0.2">
      <c r="A22" s="1">
        <v>8</v>
      </c>
      <c r="B22" s="96" t="s">
        <v>30</v>
      </c>
      <c r="C22" s="56">
        <f>'2022 год'!C22</f>
        <v>2255</v>
      </c>
      <c r="D22" s="50">
        <f t="shared" si="1"/>
        <v>2995857</v>
      </c>
      <c r="E22" s="52">
        <v>2868900</v>
      </c>
      <c r="F22" s="52">
        <v>126957</v>
      </c>
      <c r="G22" s="20"/>
      <c r="H22" s="55">
        <v>2995857</v>
      </c>
      <c r="I22" s="54">
        <f t="shared" si="2"/>
        <v>0</v>
      </c>
      <c r="J22" s="41">
        <v>0.88</v>
      </c>
      <c r="K22" s="14">
        <v>0.92</v>
      </c>
      <c r="L22" s="14">
        <f t="shared" si="3"/>
        <v>0.9565217391304347</v>
      </c>
      <c r="M22" s="10"/>
      <c r="N22" s="10"/>
      <c r="O22" s="63">
        <f>D28/C28*(M24-L22)*K22*C22</f>
        <v>-701476.70829304925</v>
      </c>
      <c r="P22" s="1"/>
      <c r="Q22" s="49">
        <f>N24*(O22/O24)</f>
        <v>306492.94743787317</v>
      </c>
      <c r="R22" s="64">
        <f t="shared" si="4"/>
        <v>-306492.94743787317</v>
      </c>
      <c r="S22" s="92">
        <f t="shared" si="0"/>
        <v>0</v>
      </c>
      <c r="T22" s="49"/>
    </row>
    <row r="23" spans="1:20" ht="13.5" thickBot="1" x14ac:dyDescent="0.25">
      <c r="A23" s="1">
        <v>9</v>
      </c>
      <c r="B23" s="96" t="s">
        <v>31</v>
      </c>
      <c r="C23" s="56">
        <f>'2022 год'!C23</f>
        <v>1223</v>
      </c>
      <c r="D23" s="50">
        <f t="shared" si="1"/>
        <v>1826055</v>
      </c>
      <c r="E23" s="52">
        <v>1757200</v>
      </c>
      <c r="F23" s="52">
        <v>68855</v>
      </c>
      <c r="G23" s="20"/>
      <c r="H23" s="55">
        <v>2361562</v>
      </c>
      <c r="I23" s="54">
        <f t="shared" si="2"/>
        <v>-535507</v>
      </c>
      <c r="J23" s="41">
        <v>1.0449999999999999</v>
      </c>
      <c r="K23" s="14">
        <v>0.97199999999999998</v>
      </c>
      <c r="L23" s="14">
        <f t="shared" si="3"/>
        <v>1.0751028806584362</v>
      </c>
      <c r="M23" s="10"/>
      <c r="N23" s="10"/>
      <c r="O23" s="63">
        <f>D28/C28*(M24-L23)*K23*C23</f>
        <v>-656946.33491983567</v>
      </c>
      <c r="P23" s="1"/>
      <c r="Q23" s="49">
        <f>N24*(O23/O24)</f>
        <v>287036.49902795174</v>
      </c>
      <c r="R23" s="64">
        <f t="shared" si="4"/>
        <v>248470.50097204826</v>
      </c>
      <c r="S23" s="94">
        <f t="shared" si="0"/>
        <v>535507</v>
      </c>
      <c r="T23" s="49"/>
    </row>
    <row r="24" spans="1:20" ht="26.25" customHeight="1" thickBot="1" x14ac:dyDescent="0.25">
      <c r="A24" s="33"/>
      <c r="B24" s="77" t="s">
        <v>2</v>
      </c>
      <c r="C24" s="78">
        <f>'2022 год'!C24</f>
        <v>11409</v>
      </c>
      <c r="D24" s="79">
        <f t="shared" ref="D24:I24" si="5">SUM(D15:D23)</f>
        <v>16446331</v>
      </c>
      <c r="E24" s="79">
        <f t="shared" si="5"/>
        <v>15804000</v>
      </c>
      <c r="F24" s="79">
        <f t="shared" si="5"/>
        <v>642331</v>
      </c>
      <c r="G24" s="80">
        <f t="shared" si="5"/>
        <v>0</v>
      </c>
      <c r="H24" s="79">
        <f t="shared" si="5"/>
        <v>19824264</v>
      </c>
      <c r="I24" s="79">
        <f t="shared" si="5"/>
        <v>-3377933</v>
      </c>
      <c r="J24" s="81">
        <v>1.127</v>
      </c>
      <c r="K24" s="81"/>
      <c r="L24" s="81"/>
      <c r="M24" s="82">
        <f>L26</f>
        <v>0.76960309777347546</v>
      </c>
      <c r="N24" s="83">
        <f>I28*-1</f>
        <v>3377933</v>
      </c>
      <c r="O24" s="84">
        <f>SUM(O15:O23)</f>
        <v>-7731144.6853268174</v>
      </c>
      <c r="P24" s="85"/>
      <c r="Q24" s="84">
        <f>SUM(Q15:Q23)</f>
        <v>3377933.0000000005</v>
      </c>
      <c r="R24" s="84">
        <f>SUM(R15:R23)</f>
        <v>-3.7834979593753815E-10</v>
      </c>
      <c r="S24" s="84">
        <f t="shared" si="0"/>
        <v>3377933</v>
      </c>
      <c r="T24" s="61">
        <f>SUM(T15:T23)</f>
        <v>0</v>
      </c>
    </row>
    <row r="25" spans="1:20" x14ac:dyDescent="0.2">
      <c r="A25" s="29"/>
      <c r="B25" s="30"/>
      <c r="C25" s="65">
        <f>'2022 год'!C25</f>
        <v>0</v>
      </c>
      <c r="D25" s="24"/>
      <c r="E25" s="24"/>
      <c r="F25" s="24"/>
      <c r="G25" s="24"/>
      <c r="H25" s="62"/>
      <c r="I25" s="62"/>
      <c r="J25" s="13"/>
      <c r="K25" s="13"/>
      <c r="L25" s="13"/>
      <c r="M25" s="32"/>
      <c r="N25" s="32"/>
      <c r="O25" s="29"/>
      <c r="P25" s="29"/>
      <c r="Q25" s="38"/>
      <c r="R25" s="62"/>
      <c r="S25" s="65"/>
      <c r="T25" s="66"/>
    </row>
    <row r="26" spans="1:20" x14ac:dyDescent="0.2">
      <c r="A26" s="1">
        <v>10</v>
      </c>
      <c r="B26" s="4" t="s">
        <v>32</v>
      </c>
      <c r="C26" s="58">
        <f>'2022 год'!C26</f>
        <v>7074</v>
      </c>
      <c r="D26" s="54">
        <f>E26+F26+G26</f>
        <v>16988469</v>
      </c>
      <c r="E26" s="59">
        <v>16590200</v>
      </c>
      <c r="F26" s="59">
        <v>398269</v>
      </c>
      <c r="G26" s="16"/>
      <c r="H26" s="59">
        <v>16988469</v>
      </c>
      <c r="I26" s="54">
        <f>D26-H26</f>
        <v>0</v>
      </c>
      <c r="J26" s="14">
        <v>0.79500000000000004</v>
      </c>
      <c r="K26" s="14">
        <v>1.0329999999999999</v>
      </c>
      <c r="L26" s="14">
        <f>J26/K26</f>
        <v>0.76960309777347546</v>
      </c>
      <c r="M26" s="10"/>
      <c r="N26" s="23">
        <v>1</v>
      </c>
      <c r="O26" s="9">
        <f>D31/C31*(M27-L26)*K26*C26</f>
        <v>0</v>
      </c>
      <c r="P26" s="1"/>
      <c r="Q26" s="39">
        <f>N28*(1-P28)*(O26/O28)</f>
        <v>0</v>
      </c>
      <c r="R26" s="64">
        <f>H26-D26-Q26</f>
        <v>0</v>
      </c>
      <c r="S26" s="48"/>
      <c r="T26" s="49"/>
    </row>
    <row r="27" spans="1:20" ht="13.5" thickBot="1" x14ac:dyDescent="0.25">
      <c r="A27" s="26"/>
      <c r="B27" s="4"/>
      <c r="C27" s="58">
        <f>'2022 год'!C27</f>
        <v>0</v>
      </c>
      <c r="D27" s="60"/>
      <c r="E27" s="60"/>
      <c r="F27" s="60"/>
      <c r="G27" s="16"/>
      <c r="H27" s="60"/>
      <c r="I27" s="60"/>
      <c r="J27" s="27"/>
      <c r="K27" s="27"/>
      <c r="L27" s="27"/>
      <c r="M27" s="28"/>
      <c r="N27" s="28"/>
      <c r="O27" s="26"/>
      <c r="P27" s="26"/>
      <c r="Q27" s="34"/>
      <c r="R27" s="67"/>
      <c r="S27" s="68"/>
      <c r="T27" s="66"/>
    </row>
    <row r="28" spans="1:20" ht="13.5" thickBot="1" x14ac:dyDescent="0.25">
      <c r="A28" s="33"/>
      <c r="B28" s="86" t="s">
        <v>4</v>
      </c>
      <c r="C28" s="84">
        <f>'2022 год'!C28</f>
        <v>18483</v>
      </c>
      <c r="D28" s="83">
        <f t="shared" ref="D28:I28" si="6">D24+D26</f>
        <v>33434800</v>
      </c>
      <c r="E28" s="83">
        <f t="shared" si="6"/>
        <v>32394200</v>
      </c>
      <c r="F28" s="83">
        <f t="shared" si="6"/>
        <v>1040600</v>
      </c>
      <c r="G28" s="87">
        <f t="shared" si="6"/>
        <v>0</v>
      </c>
      <c r="H28" s="83">
        <f t="shared" si="6"/>
        <v>36812733</v>
      </c>
      <c r="I28" s="83">
        <f t="shared" si="6"/>
        <v>-3377933</v>
      </c>
      <c r="J28" s="88">
        <v>1</v>
      </c>
      <c r="K28" s="88">
        <v>1</v>
      </c>
      <c r="L28" s="88"/>
      <c r="M28" s="89"/>
      <c r="N28" s="89"/>
      <c r="O28" s="90">
        <f>O24+O26</f>
        <v>-7731144.6853268174</v>
      </c>
      <c r="P28" s="85"/>
      <c r="Q28" s="91">
        <f>Q24</f>
        <v>3377933.0000000005</v>
      </c>
      <c r="R28" s="84">
        <f>R24</f>
        <v>-3.7834979593753815E-10</v>
      </c>
      <c r="S28" s="84">
        <f>S24+S26</f>
        <v>3377933</v>
      </c>
      <c r="T28" s="69"/>
    </row>
    <row r="29" spans="1:20" x14ac:dyDescent="0.2">
      <c r="A29" s="29"/>
      <c r="B29" s="35"/>
      <c r="C29" s="36"/>
      <c r="D29" s="37"/>
      <c r="E29" s="37"/>
      <c r="F29" s="37"/>
      <c r="G29" s="37"/>
      <c r="H29" s="37"/>
      <c r="I29" s="37"/>
      <c r="J29" s="13"/>
      <c r="K29" s="13"/>
      <c r="L29" s="13"/>
      <c r="M29" s="32"/>
      <c r="N29" s="32"/>
      <c r="O29" s="29"/>
      <c r="P29" s="29"/>
      <c r="Q29" s="25"/>
      <c r="R29" s="62"/>
      <c r="S29" s="65"/>
      <c r="T29" s="66"/>
    </row>
    <row r="30" spans="1:20" x14ac:dyDescent="0.2">
      <c r="A30" s="1"/>
      <c r="B30" s="3" t="s">
        <v>3</v>
      </c>
      <c r="C30" s="7"/>
      <c r="D30" s="16"/>
      <c r="E30" s="16"/>
      <c r="F30" s="16"/>
      <c r="G30" s="16"/>
      <c r="H30" s="16"/>
      <c r="I30" s="16"/>
      <c r="J30" s="14"/>
      <c r="K30" s="14"/>
      <c r="L30" s="14"/>
      <c r="M30" s="10"/>
      <c r="N30" s="10"/>
      <c r="O30" s="1"/>
      <c r="P30" s="1"/>
      <c r="Q30" s="21"/>
      <c r="R30" s="70"/>
      <c r="S30" s="71">
        <f>Q28+R28</f>
        <v>3377933</v>
      </c>
      <c r="T30" s="72"/>
    </row>
    <row r="31" spans="1:20" ht="13.5" thickBot="1" x14ac:dyDescent="0.25">
      <c r="A31" s="2"/>
      <c r="B31" s="5" t="s">
        <v>1</v>
      </c>
      <c r="C31" s="6">
        <f>C24+C26+C30</f>
        <v>18483</v>
      </c>
      <c r="D31" s="17"/>
      <c r="E31" s="17"/>
      <c r="F31" s="17"/>
      <c r="G31" s="17"/>
      <c r="H31" s="17"/>
      <c r="I31" s="17"/>
      <c r="J31" s="15"/>
      <c r="K31" s="15"/>
      <c r="L31" s="15"/>
      <c r="M31" s="11"/>
      <c r="N31" s="11"/>
      <c r="O31" s="2"/>
      <c r="P31" s="2"/>
      <c r="Q31" s="22"/>
      <c r="R31" s="11"/>
      <c r="S31" s="2"/>
      <c r="T31" s="22"/>
    </row>
    <row r="33" spans="13:14" x14ac:dyDescent="0.2">
      <c r="M33" s="42">
        <v>0.4</v>
      </c>
      <c r="N33" s="44">
        <f>I24*0.4</f>
        <v>-1351173.2000000002</v>
      </c>
    </row>
    <row r="34" spans="13:14" x14ac:dyDescent="0.2">
      <c r="M34" s="45">
        <v>0.5</v>
      </c>
      <c r="N34" s="46">
        <f>I24*0.5</f>
        <v>-1688966.5</v>
      </c>
    </row>
    <row r="35" spans="13:14" x14ac:dyDescent="0.2">
      <c r="M35" s="42">
        <v>0.6</v>
      </c>
      <c r="N35" s="43">
        <f>I24*0.6</f>
        <v>-2026759.7999999998</v>
      </c>
    </row>
    <row r="36" spans="13:14" x14ac:dyDescent="0.2">
      <c r="M36" s="42">
        <v>0.8</v>
      </c>
      <c r="N36" s="43">
        <f>I24*0.8</f>
        <v>-2702346.4000000004</v>
      </c>
    </row>
    <row r="37" spans="13:14" x14ac:dyDescent="0.2">
      <c r="M37" s="42">
        <v>1</v>
      </c>
      <c r="N37" s="43">
        <f>I24*100/100</f>
        <v>-3377933</v>
      </c>
    </row>
  </sheetData>
  <mergeCells count="24">
    <mergeCell ref="O9:O14"/>
    <mergeCell ref="P9:P14"/>
    <mergeCell ref="Q9:Q14"/>
    <mergeCell ref="O5:Q5"/>
    <mergeCell ref="B7:T7"/>
    <mergeCell ref="J9:J14"/>
    <mergeCell ref="K9:K14"/>
    <mergeCell ref="R9:R14"/>
    <mergeCell ref="S9:S14"/>
    <mergeCell ref="I9:I14"/>
    <mergeCell ref="T9:T14"/>
    <mergeCell ref="D10:D14"/>
    <mergeCell ref="E10:G10"/>
    <mergeCell ref="E11:E14"/>
    <mergeCell ref="F11:F14"/>
    <mergeCell ref="G11:G14"/>
    <mergeCell ref="L9:L14"/>
    <mergeCell ref="M9:M14"/>
    <mergeCell ref="N9:N14"/>
    <mergeCell ref="A9:A14"/>
    <mergeCell ref="B9:B14"/>
    <mergeCell ref="C9:C14"/>
    <mergeCell ref="D9:G9"/>
    <mergeCell ref="H9:H14"/>
  </mergeCells>
  <pageMargins left="0" right="0" top="0" bottom="0" header="0" footer="0"/>
  <pageSetup paperSize="9" scale="6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2021 год</vt:lpstr>
      <vt:lpstr>2022 год</vt:lpstr>
      <vt:lpstr>2023</vt:lpstr>
      <vt:lpstr>'2021 год'!Область_печати</vt:lpstr>
      <vt:lpstr>'2022 год'!Область_печати</vt:lpstr>
      <vt:lpstr>'2023'!Область_печати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2020-11-10T12:04:36Z</cp:lastPrinted>
  <dcterms:created xsi:type="dcterms:W3CDTF">2007-07-03T11:04:27Z</dcterms:created>
  <dcterms:modified xsi:type="dcterms:W3CDTF">2020-11-10T12:14:50Z</dcterms:modified>
</cp:coreProperties>
</file>