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00" yWindow="420" windowWidth="10275" windowHeight="11580"/>
  </bookViews>
  <sheets>
    <sheet name="2025" sheetId="1" r:id="rId1"/>
    <sheet name="2026" sheetId="2" r:id="rId2"/>
    <sheet name="2027" sheetId="3" r:id="rId3"/>
  </sheets>
  <definedNames>
    <definedName name="_xlnm.Print_Area" localSheetId="0">'2025'!$A$1:$T$37</definedName>
    <definedName name="_xlnm.Print_Area" localSheetId="1">'2026'!$A$1:$T$37</definedName>
    <definedName name="_xlnm.Print_Area" localSheetId="2">'2027'!$A$1:$T$37</definedName>
  </definedNames>
  <calcPr calcId="145621"/>
</workbook>
</file>

<file path=xl/calcChain.xml><?xml version="1.0" encoding="utf-8"?>
<calcChain xmlns="http://schemas.openxmlformats.org/spreadsheetml/2006/main">
  <c r="M24" i="3" l="1"/>
  <c r="I16" i="2" l="1"/>
  <c r="L24" i="3" l="1"/>
  <c r="D26" i="1" l="1"/>
  <c r="D15" i="1"/>
  <c r="D16" i="1"/>
  <c r="D17" i="1"/>
  <c r="D18" i="1"/>
  <c r="D19" i="1"/>
  <c r="D20" i="1"/>
  <c r="D21" i="1"/>
  <c r="D22" i="1"/>
  <c r="D23" i="1"/>
  <c r="C16" i="2" l="1"/>
  <c r="C16" i="3" s="1"/>
  <c r="C17" i="2"/>
  <c r="C17" i="3" s="1"/>
  <c r="C18" i="2"/>
  <c r="C18" i="3" s="1"/>
  <c r="C19" i="2"/>
  <c r="C19" i="3" s="1"/>
  <c r="C20" i="2"/>
  <c r="C20" i="3" s="1"/>
  <c r="C21" i="2"/>
  <c r="C21" i="3" s="1"/>
  <c r="C22" i="2"/>
  <c r="C22" i="3" s="1"/>
  <c r="C23" i="2"/>
  <c r="C23" i="3" s="1"/>
  <c r="C25" i="2"/>
  <c r="C25" i="3" s="1"/>
  <c r="C26" i="2"/>
  <c r="C26" i="3" s="1"/>
  <c r="C27" i="2"/>
  <c r="C27" i="3" s="1"/>
  <c r="C15" i="2"/>
  <c r="C15" i="3" s="1"/>
  <c r="L26" i="3"/>
  <c r="D26" i="3"/>
  <c r="I26" i="3" s="1"/>
  <c r="T24" i="3"/>
  <c r="H24" i="3"/>
  <c r="H28" i="3" s="1"/>
  <c r="G24" i="3"/>
  <c r="G28" i="3"/>
  <c r="F24" i="3"/>
  <c r="F28" i="3" s="1"/>
  <c r="E24" i="3"/>
  <c r="E28" i="3" s="1"/>
  <c r="L23" i="3"/>
  <c r="D23" i="3"/>
  <c r="I23" i="3" s="1"/>
  <c r="L22" i="3"/>
  <c r="D22" i="3"/>
  <c r="I22" i="3" s="1"/>
  <c r="L21" i="3"/>
  <c r="D21" i="3"/>
  <c r="I21" i="3" s="1"/>
  <c r="L20" i="3"/>
  <c r="D20" i="3"/>
  <c r="I20" i="3" s="1"/>
  <c r="L19" i="3"/>
  <c r="D19" i="3"/>
  <c r="I19" i="3" s="1"/>
  <c r="L18" i="3"/>
  <c r="D18" i="3"/>
  <c r="I18" i="3" s="1"/>
  <c r="L17" i="3"/>
  <c r="D17" i="3"/>
  <c r="I17" i="3" s="1"/>
  <c r="L16" i="3"/>
  <c r="D16" i="3"/>
  <c r="I16" i="3" s="1"/>
  <c r="L15" i="3"/>
  <c r="D15" i="3"/>
  <c r="I15" i="3" s="1"/>
  <c r="L26" i="2"/>
  <c r="M24" i="2" s="1"/>
  <c r="D26" i="2"/>
  <c r="I26" i="2" s="1"/>
  <c r="T24" i="2"/>
  <c r="H24" i="2"/>
  <c r="H28" i="2" s="1"/>
  <c r="G24" i="2"/>
  <c r="G28" i="2"/>
  <c r="F24" i="2"/>
  <c r="F28" i="2" s="1"/>
  <c r="E24" i="2"/>
  <c r="E28" i="2" s="1"/>
  <c r="L23" i="2"/>
  <c r="D23" i="2"/>
  <c r="I23" i="2" s="1"/>
  <c r="L22" i="2"/>
  <c r="D22" i="2"/>
  <c r="I22" i="2" s="1"/>
  <c r="L21" i="2"/>
  <c r="D21" i="2"/>
  <c r="I21" i="2" s="1"/>
  <c r="L20" i="2"/>
  <c r="D20" i="2"/>
  <c r="I20" i="2" s="1"/>
  <c r="L19" i="2"/>
  <c r="D19" i="2"/>
  <c r="I19" i="2" s="1"/>
  <c r="L18" i="2"/>
  <c r="D18" i="2"/>
  <c r="I18" i="2" s="1"/>
  <c r="L17" i="2"/>
  <c r="D17" i="2"/>
  <c r="I17" i="2" s="1"/>
  <c r="L16" i="2"/>
  <c r="D16" i="2"/>
  <c r="L15" i="2"/>
  <c r="D15" i="2"/>
  <c r="I15" i="2" s="1"/>
  <c r="L15" i="1"/>
  <c r="I26" i="1"/>
  <c r="I20" i="1"/>
  <c r="I23" i="1"/>
  <c r="I16" i="1"/>
  <c r="L16" i="1"/>
  <c r="I17" i="1"/>
  <c r="L17" i="1"/>
  <c r="I18" i="1"/>
  <c r="L18" i="1"/>
  <c r="I19" i="1"/>
  <c r="L19" i="1"/>
  <c r="L20" i="1"/>
  <c r="I21" i="1"/>
  <c r="L21" i="1"/>
  <c r="I22" i="1"/>
  <c r="L22" i="1"/>
  <c r="L23" i="1"/>
  <c r="C24" i="1"/>
  <c r="C24" i="2" s="1"/>
  <c r="E24" i="1"/>
  <c r="E28" i="1" s="1"/>
  <c r="F24" i="1"/>
  <c r="F28" i="1" s="1"/>
  <c r="G24" i="1"/>
  <c r="G28" i="1"/>
  <c r="H24" i="1"/>
  <c r="H28" i="1" s="1"/>
  <c r="T24" i="1"/>
  <c r="L26" i="1"/>
  <c r="M24" i="1" s="1"/>
  <c r="I15" i="1"/>
  <c r="D24" i="3" l="1"/>
  <c r="D28" i="3" s="1"/>
  <c r="I24" i="3"/>
  <c r="N37" i="3" s="1"/>
  <c r="D24" i="2"/>
  <c r="D28" i="2" s="1"/>
  <c r="I24" i="2"/>
  <c r="I28" i="2" s="1"/>
  <c r="N24" i="2" s="1"/>
  <c r="D24" i="1"/>
  <c r="D28" i="1" s="1"/>
  <c r="I24" i="1"/>
  <c r="C24" i="3"/>
  <c r="C31" i="3" s="1"/>
  <c r="O26" i="3" s="1"/>
  <c r="C31" i="2"/>
  <c r="O26" i="2" s="1"/>
  <c r="C28" i="1"/>
  <c r="C31" i="1"/>
  <c r="O26" i="1" s="1"/>
  <c r="N34" i="1" l="1"/>
  <c r="N37" i="1"/>
  <c r="N36" i="3"/>
  <c r="N33" i="3"/>
  <c r="N35" i="3"/>
  <c r="N34" i="3"/>
  <c r="I28" i="3"/>
  <c r="N24" i="3" s="1"/>
  <c r="N34" i="2"/>
  <c r="N33" i="2"/>
  <c r="N36" i="2"/>
  <c r="N37" i="2"/>
  <c r="N35" i="2"/>
  <c r="N33" i="1"/>
  <c r="N36" i="1"/>
  <c r="N35" i="1"/>
  <c r="I28" i="1"/>
  <c r="N24" i="1" s="1"/>
  <c r="C28" i="2"/>
  <c r="O23" i="1"/>
  <c r="O18" i="1"/>
  <c r="O15" i="1"/>
  <c r="O17" i="1"/>
  <c r="O20" i="1"/>
  <c r="O22" i="1"/>
  <c r="O21" i="1"/>
  <c r="O16" i="1"/>
  <c r="O19" i="1"/>
  <c r="C28" i="3" l="1"/>
  <c r="O18" i="2"/>
  <c r="O22" i="2"/>
  <c r="O16" i="2"/>
  <c r="O15" i="2"/>
  <c r="O20" i="2"/>
  <c r="O21" i="2"/>
  <c r="O17" i="2"/>
  <c r="O23" i="2"/>
  <c r="O19" i="2"/>
  <c r="O24" i="1"/>
  <c r="O28" i="1" s="1"/>
  <c r="Q26" i="1" s="1"/>
  <c r="R26" i="1" s="1"/>
  <c r="Q23" i="1" l="1"/>
  <c r="R23" i="1" s="1"/>
  <c r="S23" i="1" s="1"/>
  <c r="Q17" i="1"/>
  <c r="Q15" i="1"/>
  <c r="R15" i="1" s="1"/>
  <c r="Q20" i="1"/>
  <c r="R20" i="1" s="1"/>
  <c r="S20" i="1" s="1"/>
  <c r="Q19" i="1"/>
  <c r="R19" i="1" s="1"/>
  <c r="S19" i="1" s="1"/>
  <c r="Q16" i="1"/>
  <c r="R16" i="1" s="1"/>
  <c r="O24" i="2"/>
  <c r="O28" i="2" s="1"/>
  <c r="Q26" i="2" s="1"/>
  <c r="R26" i="2" s="1"/>
  <c r="O19" i="3"/>
  <c r="O17" i="3"/>
  <c r="O20" i="3"/>
  <c r="O18" i="3"/>
  <c r="O21" i="3"/>
  <c r="O23" i="3"/>
  <c r="O15" i="3"/>
  <c r="O16" i="3"/>
  <c r="O22" i="3"/>
  <c r="Q21" i="1"/>
  <c r="Q18" i="1"/>
  <c r="Q22" i="1"/>
  <c r="R17" i="1" l="1"/>
  <c r="S17" i="1" s="1"/>
  <c r="Q16" i="2"/>
  <c r="R16" i="2" s="1"/>
  <c r="S16" i="2" s="1"/>
  <c r="Q17" i="2"/>
  <c r="R17" i="2" s="1"/>
  <c r="S17" i="2" s="1"/>
  <c r="Q22" i="2"/>
  <c r="R22" i="2" s="1"/>
  <c r="S22" i="2" s="1"/>
  <c r="Q18" i="2"/>
  <c r="R18" i="2" s="1"/>
  <c r="S18" i="2" s="1"/>
  <c r="Q20" i="2"/>
  <c r="R20" i="2" s="1"/>
  <c r="S20" i="2" s="1"/>
  <c r="Q19" i="2"/>
  <c r="R19" i="2" s="1"/>
  <c r="S19" i="2" s="1"/>
  <c r="Q15" i="2"/>
  <c r="R15" i="2" s="1"/>
  <c r="S15" i="2" s="1"/>
  <c r="Q21" i="2"/>
  <c r="R21" i="2" s="1"/>
  <c r="S21" i="2" s="1"/>
  <c r="S16" i="1"/>
  <c r="R22" i="1"/>
  <c r="S22" i="1" s="1"/>
  <c r="S15" i="1"/>
  <c r="R18" i="1"/>
  <c r="R21" i="1"/>
  <c r="S21" i="1" s="1"/>
  <c r="Q23" i="2"/>
  <c r="R23" i="2" s="1"/>
  <c r="S23" i="2" s="1"/>
  <c r="Q24" i="1"/>
  <c r="O24" i="3"/>
  <c r="O28" i="3" s="1"/>
  <c r="Q26" i="3" s="1"/>
  <c r="R26" i="3" s="1"/>
  <c r="Q23" i="3" l="1"/>
  <c r="R23" i="3" s="1"/>
  <c r="S23" i="3" s="1"/>
  <c r="R24" i="1"/>
  <c r="R28" i="1" s="1"/>
  <c r="Q24" i="2"/>
  <c r="Q28" i="2" s="1"/>
  <c r="Q22" i="3"/>
  <c r="R22" i="3" s="1"/>
  <c r="S22" i="3" s="1"/>
  <c r="Q15" i="3"/>
  <c r="R15" i="3" s="1"/>
  <c r="S15" i="3" s="1"/>
  <c r="Q17" i="3"/>
  <c r="R17" i="3" s="1"/>
  <c r="S17" i="3" s="1"/>
  <c r="S18" i="1"/>
  <c r="Q20" i="3"/>
  <c r="R20" i="3" s="1"/>
  <c r="S20" i="3" s="1"/>
  <c r="Q28" i="1"/>
  <c r="Q18" i="3"/>
  <c r="R18" i="3" s="1"/>
  <c r="S18" i="3" s="1"/>
  <c r="Q16" i="3"/>
  <c r="R16" i="3" s="1"/>
  <c r="S16" i="3" s="1"/>
  <c r="R24" i="2"/>
  <c r="R28" i="2" s="1"/>
  <c r="Q19" i="3"/>
  <c r="R19" i="3" s="1"/>
  <c r="S19" i="3" s="1"/>
  <c r="Q21" i="3"/>
  <c r="S30" i="1" l="1"/>
  <c r="S24" i="2"/>
  <c r="S28" i="2" s="1"/>
  <c r="S30" i="2"/>
  <c r="S24" i="1"/>
  <c r="S28" i="1" s="1"/>
  <c r="R21" i="3"/>
  <c r="S21" i="3" s="1"/>
  <c r="Q24" i="3"/>
  <c r="R24" i="3" l="1"/>
  <c r="R28" i="3" s="1"/>
  <c r="Q28" i="3"/>
  <c r="S24" i="3" l="1"/>
  <c r="S28" i="3" s="1"/>
  <c r="S30" i="3"/>
</calcChain>
</file>

<file path=xl/sharedStrings.xml><?xml version="1.0" encoding="utf-8"?>
<sst xmlns="http://schemas.openxmlformats.org/spreadsheetml/2006/main" count="111" uniqueCount="37">
  <si>
    <t xml:space="preserve">Поселение </t>
  </si>
  <si>
    <t xml:space="preserve">Всего </t>
  </si>
  <si>
    <t xml:space="preserve">Итого  по сельским поселениям </t>
  </si>
  <si>
    <t xml:space="preserve">район </t>
  </si>
  <si>
    <t xml:space="preserve">Всего поселения </t>
  </si>
  <si>
    <t>Числен- ность</t>
  </si>
  <si>
    <t xml:space="preserve">Бюджетная обеспеченность   поселения = индекс доходного потенциала / индекс бюджетных расходов </t>
  </si>
  <si>
    <t>Индекс доходного потенциала  поселения</t>
  </si>
  <si>
    <t xml:space="preserve">Индекс бюджетных расходов поселения </t>
  </si>
  <si>
    <t xml:space="preserve">Объем средств, необходимый для доведения бюджетной обеспеченности поселения до уровня, выбранного в качестве критерия </t>
  </si>
  <si>
    <t>Доля дотации (№120-ФЗ)</t>
  </si>
  <si>
    <t xml:space="preserve">Уровень  бюджетной обеспеченности, установленный в качестве критерия выравнивания </t>
  </si>
  <si>
    <t>Доходы</t>
  </si>
  <si>
    <t xml:space="preserve">в том числе </t>
  </si>
  <si>
    <t>собственные</t>
  </si>
  <si>
    <t xml:space="preserve">дотация областная </t>
  </si>
  <si>
    <t xml:space="preserve">прочее </t>
  </si>
  <si>
    <t xml:space="preserve">Расходы </t>
  </si>
  <si>
    <t>Размер дотации из РФФПП на выравнивание бюджетной обеспеченности</t>
  </si>
  <si>
    <t xml:space="preserve">Доходы - расходы </t>
  </si>
  <si>
    <t xml:space="preserve">Таблица 6 </t>
  </si>
  <si>
    <t xml:space="preserve">Размер иных межбюджетных трансфертов (на поддержку мер по обеспече нию сбалансированности бюджетов поселений)  </t>
  </si>
  <si>
    <t>Бутырское</t>
  </si>
  <si>
    <t>Большерельненское</t>
  </si>
  <si>
    <t>Новокрасавское</t>
  </si>
  <si>
    <t>Октябрьское</t>
  </si>
  <si>
    <t>Гремячинское</t>
  </si>
  <si>
    <t>Большедмитриевское</t>
  </si>
  <si>
    <t>Раздолоьновское</t>
  </si>
  <si>
    <t>Ширококарамышское</t>
  </si>
  <si>
    <t>Большекопенское</t>
  </si>
  <si>
    <t xml:space="preserve">Лысые Горы </t>
  </si>
  <si>
    <t>Раздольновское</t>
  </si>
  <si>
    <t xml:space="preserve">Расчет размера дотации на выравнивание бюджетной обеспеченности  поселений  из  местного бюджета района (районного фонда финансовой поддержки) и иных межбюджетных трансфертов на поддержку мер по обеспечению сбалансированности бюджетов поселений на 2025 год  </t>
  </si>
  <si>
    <t xml:space="preserve">Расчет размера дотации на выравнивание бюджетной обеспеченности  поселений  из  местного бюджета района (районного фонда финансовой поддержки) и иных межбюджетных трансфертов на поддержку мер по обеспечению сбалансированности бюджетов поселений на 2026 год  </t>
  </si>
  <si>
    <r>
      <t xml:space="preserve">Объем районного фонда финансовой поддержки поселений </t>
    </r>
    <r>
      <rPr>
        <sz val="8"/>
        <rFont val="Arial Cyr"/>
        <charset val="204"/>
      </rPr>
      <t>(Расходы поселений без города  - Собств. Доходы  - Дотации из обл. бюджета) 100%</t>
    </r>
  </si>
  <si>
    <t xml:space="preserve">Расчет размера дотации на выравнивание бюджетной обеспеченности  поселений  из  местного бюджета района (районного фонда финансовой поддержки) и иных межбюджетных трансфертов на поддержку мер по обеспечению сбалансированности бюджетов поселений на 2027 год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</si>
</sst>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4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1" xfId="0" applyBorder="1"/>
    <xf numFmtId="0" fontId="0" fillId="0" borderId="2" xfId="0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0" borderId="5" xfId="0" applyFont="1" applyBorder="1"/>
    <xf numFmtId="0" fontId="2" fillId="0" borderId="2" xfId="0" applyFont="1" applyBorder="1"/>
    <xf numFmtId="0" fontId="2" fillId="2" borderId="6" xfId="0" applyFont="1" applyFill="1" applyBorder="1"/>
    <xf numFmtId="0" fontId="1" fillId="0" borderId="0" xfId="0" applyFont="1"/>
    <xf numFmtId="2" fontId="1" fillId="0" borderId="1" xfId="0" applyNumberFormat="1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165" fontId="1" fillId="0" borderId="9" xfId="0" applyNumberFormat="1" applyFont="1" applyBorder="1"/>
    <xf numFmtId="165" fontId="1" fillId="0" borderId="7" xfId="0" applyNumberFormat="1" applyFont="1" applyBorder="1"/>
    <xf numFmtId="165" fontId="1" fillId="0" borderId="8" xfId="0" applyNumberFormat="1" applyFont="1" applyBorder="1"/>
    <xf numFmtId="0" fontId="2" fillId="2" borderId="10" xfId="0" applyFont="1" applyFill="1" applyBorder="1"/>
    <xf numFmtId="0" fontId="2" fillId="0" borderId="8" xfId="0" applyFont="1" applyBorder="1"/>
    <xf numFmtId="164" fontId="1" fillId="2" borderId="9" xfId="0" applyNumberFormat="1" applyFont="1" applyFill="1" applyBorder="1"/>
    <xf numFmtId="164" fontId="1" fillId="2" borderId="7" xfId="0" applyNumberFormat="1" applyFont="1" applyFill="1" applyBorder="1" applyAlignment="1">
      <alignment horizontal="right" vertical="center" wrapText="1"/>
    </xf>
    <xf numFmtId="164" fontId="1" fillId="2" borderId="7" xfId="0" applyNumberFormat="1" applyFont="1" applyFill="1" applyBorder="1"/>
    <xf numFmtId="0" fontId="0" fillId="0" borderId="3" xfId="0" applyBorder="1"/>
    <xf numFmtId="0" fontId="0" fillId="0" borderId="5" xfId="0" applyBorder="1"/>
    <xf numFmtId="9" fontId="0" fillId="0" borderId="7" xfId="0" applyNumberFormat="1" applyBorder="1"/>
    <xf numFmtId="0" fontId="1" fillId="0" borderId="9" xfId="0" applyFont="1" applyBorder="1"/>
    <xf numFmtId="0" fontId="0" fillId="0" borderId="11" xfId="0" applyBorder="1"/>
    <xf numFmtId="0" fontId="0" fillId="0" borderId="6" xfId="0" applyBorder="1"/>
    <xf numFmtId="165" fontId="1" fillId="0" borderId="10" xfId="0" applyNumberFormat="1" applyFont="1" applyBorder="1"/>
    <xf numFmtId="0" fontId="0" fillId="0" borderId="10" xfId="0" applyBorder="1"/>
    <xf numFmtId="0" fontId="0" fillId="0" borderId="12" xfId="0" applyBorder="1"/>
    <xf numFmtId="0" fontId="1" fillId="0" borderId="11" xfId="0" applyFont="1" applyBorder="1"/>
    <xf numFmtId="0" fontId="1" fillId="0" borderId="12" xfId="0" applyFont="1" applyBorder="1"/>
    <xf numFmtId="0" fontId="0" fillId="0" borderId="9" xfId="0" applyBorder="1"/>
    <xf numFmtId="0" fontId="0" fillId="0" borderId="13" xfId="0" applyBorder="1"/>
    <xf numFmtId="0" fontId="0" fillId="0" borderId="4" xfId="0" applyBorder="1"/>
    <xf numFmtId="0" fontId="2" fillId="2" borderId="0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165" fontId="0" fillId="0" borderId="11" xfId="0" applyNumberFormat="1" applyBorder="1"/>
    <xf numFmtId="165" fontId="2" fillId="0" borderId="3" xfId="0" applyNumberFormat="1" applyFont="1" applyBorder="1"/>
    <xf numFmtId="165" fontId="1" fillId="3" borderId="9" xfId="0" applyNumberFormat="1" applyFont="1" applyFill="1" applyBorder="1"/>
    <xf numFmtId="165" fontId="1" fillId="3" borderId="7" xfId="0" applyNumberFormat="1" applyFont="1" applyFill="1" applyBorder="1"/>
    <xf numFmtId="9" fontId="0" fillId="0" borderId="0" xfId="0" applyNumberFormat="1"/>
    <xf numFmtId="166" fontId="2" fillId="0" borderId="0" xfId="0" applyNumberFormat="1" applyFont="1"/>
    <xf numFmtId="166" fontId="2" fillId="0" borderId="0" xfId="0" applyNumberFormat="1" applyFont="1" applyAlignment="1">
      <alignment horizontal="right"/>
    </xf>
    <xf numFmtId="9" fontId="0" fillId="0" borderId="0" xfId="0" applyNumberFormat="1" applyFill="1"/>
    <xf numFmtId="166" fontId="2" fillId="0" borderId="0" xfId="0" applyNumberFormat="1" applyFont="1" applyFill="1"/>
    <xf numFmtId="4" fontId="2" fillId="0" borderId="16" xfId="0" applyNumberFormat="1" applyFont="1" applyBorder="1"/>
    <xf numFmtId="4" fontId="2" fillId="0" borderId="1" xfId="0" applyNumberFormat="1" applyFont="1" applyBorder="1"/>
    <xf numFmtId="4" fontId="2" fillId="0" borderId="3" xfId="0" applyNumberFormat="1" applyFont="1" applyBorder="1"/>
    <xf numFmtId="4" fontId="1" fillId="3" borderId="7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/>
    <xf numFmtId="4" fontId="1" fillId="3" borderId="7" xfId="0" applyNumberFormat="1" applyFont="1" applyFill="1" applyBorder="1"/>
    <xf numFmtId="4" fontId="1" fillId="2" borderId="9" xfId="0" applyNumberFormat="1" applyFont="1" applyFill="1" applyBorder="1"/>
    <xf numFmtId="4" fontId="1" fillId="2" borderId="7" xfId="0" applyNumberFormat="1" applyFont="1" applyFill="1" applyBorder="1" applyAlignment="1">
      <alignment horizontal="right" vertical="center" wrapText="1"/>
    </xf>
    <xf numFmtId="4" fontId="1" fillId="2" borderId="7" xfId="0" applyNumberFormat="1" applyFont="1" applyFill="1" applyBorder="1"/>
    <xf numFmtId="4" fontId="1" fillId="3" borderId="1" xfId="0" applyNumberFormat="1" applyFont="1" applyFill="1" applyBorder="1"/>
    <xf numFmtId="4" fontId="1" fillId="3" borderId="1" xfId="0" applyNumberFormat="1" applyFont="1" applyFill="1" applyBorder="1" applyAlignment="1">
      <alignment horizontal="right" vertical="center" wrapText="1"/>
    </xf>
    <xf numFmtId="4" fontId="2" fillId="2" borderId="6" xfId="0" applyNumberFormat="1" applyFont="1" applyFill="1" applyBorder="1"/>
    <xf numFmtId="4" fontId="1" fillId="2" borderId="10" xfId="0" applyNumberFormat="1" applyFont="1" applyFill="1" applyBorder="1"/>
    <xf numFmtId="4" fontId="2" fillId="2" borderId="10" xfId="0" applyNumberFormat="1" applyFont="1" applyFill="1" applyBorder="1"/>
    <xf numFmtId="4" fontId="2" fillId="4" borderId="13" xfId="0" applyNumberFormat="1" applyFont="1" applyFill="1" applyBorder="1"/>
    <xf numFmtId="4" fontId="1" fillId="0" borderId="9" xfId="0" applyNumberFormat="1" applyFont="1" applyBorder="1"/>
    <xf numFmtId="4" fontId="1" fillId="0" borderId="1" xfId="0" applyNumberFormat="1" applyFont="1" applyBorder="1"/>
    <xf numFmtId="4" fontId="2" fillId="0" borderId="7" xfId="0" applyNumberFormat="1" applyFont="1" applyBorder="1"/>
    <xf numFmtId="4" fontId="1" fillId="0" borderId="12" xfId="0" applyNumberFormat="1" applyFont="1" applyBorder="1"/>
    <xf numFmtId="4" fontId="1" fillId="0" borderId="3" xfId="0" applyNumberFormat="1" applyFont="1" applyBorder="1"/>
    <xf numFmtId="4" fontId="1" fillId="0" borderId="10" xfId="0" applyNumberFormat="1" applyFont="1" applyBorder="1"/>
    <xf numFmtId="4" fontId="1" fillId="0" borderId="6" xfId="0" applyNumberFormat="1" applyFont="1" applyBorder="1"/>
    <xf numFmtId="4" fontId="1" fillId="5" borderId="7" xfId="0" applyNumberFormat="1" applyFont="1" applyFill="1" applyBorder="1"/>
    <xf numFmtId="4" fontId="0" fillId="0" borderId="7" xfId="0" applyNumberFormat="1" applyBorder="1"/>
    <xf numFmtId="4" fontId="3" fillId="0" borderId="1" xfId="0" applyNumberFormat="1" applyFont="1" applyBorder="1"/>
    <xf numFmtId="4" fontId="0" fillId="0" borderId="3" xfId="0" applyNumberFormat="1" applyBorder="1"/>
    <xf numFmtId="4" fontId="1" fillId="3" borderId="12" xfId="0" applyNumberFormat="1" applyFont="1" applyFill="1" applyBorder="1"/>
    <xf numFmtId="4" fontId="1" fillId="3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/>
    <xf numFmtId="4" fontId="2" fillId="0" borderId="9" xfId="0" applyNumberFormat="1" applyFont="1" applyBorder="1"/>
    <xf numFmtId="0" fontId="2" fillId="6" borderId="17" xfId="0" applyFont="1" applyFill="1" applyBorder="1" applyAlignment="1">
      <alignment horizontal="left" vertical="center" wrapText="1"/>
    </xf>
    <xf numFmtId="4" fontId="2" fillId="6" borderId="13" xfId="0" applyNumberFormat="1" applyFont="1" applyFill="1" applyBorder="1" applyAlignment="1">
      <alignment horizontal="right" vertical="center"/>
    </xf>
    <xf numFmtId="4" fontId="2" fillId="6" borderId="18" xfId="0" applyNumberFormat="1" applyFont="1" applyFill="1" applyBorder="1" applyAlignment="1">
      <alignment horizontal="right" vertical="center"/>
    </xf>
    <xf numFmtId="164" fontId="2" fillId="6" borderId="18" xfId="0" applyNumberFormat="1" applyFont="1" applyFill="1" applyBorder="1" applyAlignment="1">
      <alignment horizontal="right" vertical="center"/>
    </xf>
    <xf numFmtId="165" fontId="2" fillId="6" borderId="18" xfId="0" applyNumberFormat="1" applyFont="1" applyFill="1" applyBorder="1" applyAlignment="1">
      <alignment horizontal="right" vertical="center" wrapText="1"/>
    </xf>
    <xf numFmtId="165" fontId="2" fillId="6" borderId="18" xfId="0" applyNumberFormat="1" applyFont="1" applyFill="1" applyBorder="1" applyAlignment="1">
      <alignment horizontal="center" vertical="center" wrapText="1"/>
    </xf>
    <xf numFmtId="4" fontId="2" fillId="6" borderId="18" xfId="0" applyNumberFormat="1" applyFont="1" applyFill="1" applyBorder="1"/>
    <xf numFmtId="4" fontId="2" fillId="6" borderId="13" xfId="0" applyNumberFormat="1" applyFont="1" applyFill="1" applyBorder="1"/>
    <xf numFmtId="4" fontId="0" fillId="6" borderId="13" xfId="0" applyNumberFormat="1" applyFill="1" applyBorder="1"/>
    <xf numFmtId="0" fontId="2" fillId="6" borderId="17" xfId="0" applyFont="1" applyFill="1" applyBorder="1"/>
    <xf numFmtId="164" fontId="2" fillId="6" borderId="18" xfId="0" applyNumberFormat="1" applyFont="1" applyFill="1" applyBorder="1"/>
    <xf numFmtId="165" fontId="1" fillId="6" borderId="18" xfId="0" applyNumberFormat="1" applyFont="1" applyFill="1" applyBorder="1"/>
    <xf numFmtId="0" fontId="0" fillId="6" borderId="18" xfId="0" applyFill="1" applyBorder="1"/>
    <xf numFmtId="4" fontId="1" fillId="6" borderId="13" xfId="0" applyNumberFormat="1" applyFont="1" applyFill="1" applyBorder="1"/>
    <xf numFmtId="4" fontId="2" fillId="6" borderId="17" xfId="0" applyNumberFormat="1" applyFont="1" applyFill="1" applyBorder="1"/>
    <xf numFmtId="4" fontId="2" fillId="0" borderId="19" xfId="0" applyNumberFormat="1" applyFont="1" applyBorder="1"/>
    <xf numFmtId="4" fontId="2" fillId="0" borderId="20" xfId="0" applyNumberFormat="1" applyFont="1" applyBorder="1"/>
    <xf numFmtId="4" fontId="2" fillId="0" borderId="21" xfId="0" applyNumberFormat="1" applyFont="1" applyBorder="1"/>
    <xf numFmtId="0" fontId="2" fillId="2" borderId="1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" fillId="0" borderId="2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2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textRotation="90" wrapText="1"/>
    </xf>
    <xf numFmtId="0" fontId="2" fillId="0" borderId="23" xfId="0" applyFont="1" applyBorder="1" applyAlignment="1">
      <alignment horizontal="center" vertical="center" textRotation="90" wrapText="1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T37"/>
  <sheetViews>
    <sheetView tabSelected="1" zoomScale="89" zoomScaleNormal="89" zoomScaleSheetLayoutView="100" workbookViewId="0">
      <pane xSplit="2" ySplit="14" topLeftCell="D15" activePane="bottomRight" state="frozen"/>
      <selection pane="topRight" activeCell="C1" sqref="C1"/>
      <selection pane="bottomLeft" activeCell="A14" sqref="A14"/>
      <selection pane="bottomRight" activeCell="J24" sqref="J24"/>
    </sheetView>
  </sheetViews>
  <sheetFormatPr defaultRowHeight="12.75" x14ac:dyDescent="0.2"/>
  <cols>
    <col min="1" max="1" width="3.140625" customWidth="1"/>
    <col min="2" max="2" width="19.85546875" customWidth="1"/>
    <col min="3" max="3" width="9.28515625" customWidth="1"/>
    <col min="4" max="4" width="11.28515625" customWidth="1"/>
    <col min="5" max="5" width="12.85546875" customWidth="1"/>
    <col min="6" max="6" width="14.42578125" customWidth="1"/>
    <col min="7" max="7" width="5.5703125" customWidth="1"/>
    <col min="8" max="8" width="13.7109375" customWidth="1"/>
    <col min="9" max="9" width="12.140625" customWidth="1"/>
    <col min="10" max="10" width="10.42578125" customWidth="1"/>
    <col min="11" max="11" width="10.140625" customWidth="1"/>
    <col min="12" max="12" width="14" customWidth="1"/>
    <col min="13" max="13" width="10" customWidth="1"/>
    <col min="14" max="14" width="11" customWidth="1"/>
    <col min="15" max="15" width="13.7109375" customWidth="1"/>
    <col min="16" max="16" width="6.28515625" hidden="1" customWidth="1"/>
    <col min="17" max="17" width="15.28515625" customWidth="1"/>
    <col min="18" max="18" width="15.42578125" customWidth="1"/>
    <col min="19" max="19" width="14.42578125" customWidth="1"/>
    <col min="20" max="20" width="0.85546875" hidden="1" customWidth="1"/>
  </cols>
  <sheetData>
    <row r="5" spans="1:20" x14ac:dyDescent="0.2">
      <c r="O5" s="98" t="s">
        <v>20</v>
      </c>
      <c r="P5" s="98"/>
      <c r="Q5" s="98"/>
    </row>
    <row r="7" spans="1:20" ht="33.75" customHeight="1" x14ac:dyDescent="0.2">
      <c r="B7" s="108" t="s">
        <v>33</v>
      </c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</row>
    <row r="8" spans="1:20" ht="13.5" thickBot="1" x14ac:dyDescent="0.25">
      <c r="B8" s="8"/>
      <c r="C8" s="8"/>
      <c r="D8" s="8"/>
      <c r="E8" s="8"/>
      <c r="F8" s="8"/>
      <c r="G8" s="8"/>
      <c r="H8" s="8"/>
      <c r="I8" s="8"/>
      <c r="N8" s="12"/>
    </row>
    <row r="9" spans="1:20" ht="21.75" customHeight="1" thickBot="1" x14ac:dyDescent="0.25">
      <c r="A9" s="112"/>
      <c r="B9" s="99" t="s">
        <v>0</v>
      </c>
      <c r="C9" s="99" t="s">
        <v>5</v>
      </c>
      <c r="D9" s="105" t="s">
        <v>12</v>
      </c>
      <c r="E9" s="106"/>
      <c r="F9" s="106"/>
      <c r="G9" s="107"/>
      <c r="H9" s="99" t="s">
        <v>17</v>
      </c>
      <c r="I9" s="99" t="s">
        <v>19</v>
      </c>
      <c r="J9" s="99" t="s">
        <v>7</v>
      </c>
      <c r="K9" s="99" t="s">
        <v>8</v>
      </c>
      <c r="L9" s="99" t="s">
        <v>6</v>
      </c>
      <c r="M9" s="99" t="s">
        <v>11</v>
      </c>
      <c r="N9" s="99" t="s">
        <v>35</v>
      </c>
      <c r="O9" s="99" t="s">
        <v>9</v>
      </c>
      <c r="P9" s="99" t="s">
        <v>10</v>
      </c>
      <c r="Q9" s="102" t="s">
        <v>18</v>
      </c>
      <c r="R9" s="99" t="s">
        <v>21</v>
      </c>
      <c r="S9" s="99" t="s">
        <v>18</v>
      </c>
      <c r="T9" s="99" t="s">
        <v>21</v>
      </c>
    </row>
    <row r="10" spans="1:20" ht="20.25" customHeight="1" thickBot="1" x14ac:dyDescent="0.25">
      <c r="A10" s="113"/>
      <c r="B10" s="100"/>
      <c r="C10" s="100"/>
      <c r="D10" s="100" t="s">
        <v>1</v>
      </c>
      <c r="E10" s="105" t="s">
        <v>13</v>
      </c>
      <c r="F10" s="106"/>
      <c r="G10" s="107"/>
      <c r="H10" s="100"/>
      <c r="I10" s="100"/>
      <c r="J10" s="100"/>
      <c r="K10" s="100"/>
      <c r="L10" s="100"/>
      <c r="M10" s="100"/>
      <c r="N10" s="100"/>
      <c r="O10" s="100"/>
      <c r="P10" s="100"/>
      <c r="Q10" s="103"/>
      <c r="R10" s="100"/>
      <c r="S10" s="100"/>
      <c r="T10" s="100"/>
    </row>
    <row r="11" spans="1:20" ht="12.75" customHeight="1" x14ac:dyDescent="0.2">
      <c r="A11" s="113"/>
      <c r="B11" s="100"/>
      <c r="C11" s="100"/>
      <c r="D11" s="100"/>
      <c r="E11" s="109" t="s">
        <v>14</v>
      </c>
      <c r="F11" s="109" t="s">
        <v>15</v>
      </c>
      <c r="G11" s="109" t="s">
        <v>16</v>
      </c>
      <c r="H11" s="100"/>
      <c r="I11" s="100"/>
      <c r="J11" s="100"/>
      <c r="K11" s="100"/>
      <c r="L11" s="100"/>
      <c r="M11" s="100"/>
      <c r="N11" s="100"/>
      <c r="O11" s="100"/>
      <c r="P11" s="100"/>
      <c r="Q11" s="103"/>
      <c r="R11" s="100"/>
      <c r="S11" s="100"/>
      <c r="T11" s="100"/>
    </row>
    <row r="12" spans="1:20" x14ac:dyDescent="0.2">
      <c r="A12" s="113"/>
      <c r="B12" s="100"/>
      <c r="C12" s="100"/>
      <c r="D12" s="100"/>
      <c r="E12" s="110"/>
      <c r="F12" s="110"/>
      <c r="G12" s="110"/>
      <c r="H12" s="100"/>
      <c r="I12" s="100"/>
      <c r="J12" s="100"/>
      <c r="K12" s="100"/>
      <c r="L12" s="100"/>
      <c r="M12" s="100"/>
      <c r="N12" s="100"/>
      <c r="O12" s="100"/>
      <c r="P12" s="100"/>
      <c r="Q12" s="103"/>
      <c r="R12" s="100"/>
      <c r="S12" s="100"/>
      <c r="T12" s="100"/>
    </row>
    <row r="13" spans="1:20" ht="12.75" customHeight="1" x14ac:dyDescent="0.2">
      <c r="A13" s="113"/>
      <c r="B13" s="100"/>
      <c r="C13" s="100"/>
      <c r="D13" s="100"/>
      <c r="E13" s="110"/>
      <c r="F13" s="110"/>
      <c r="G13" s="110"/>
      <c r="H13" s="100"/>
      <c r="I13" s="100"/>
      <c r="J13" s="100"/>
      <c r="K13" s="100"/>
      <c r="L13" s="100"/>
      <c r="M13" s="100"/>
      <c r="N13" s="100"/>
      <c r="O13" s="100"/>
      <c r="P13" s="100"/>
      <c r="Q13" s="103"/>
      <c r="R13" s="100"/>
      <c r="S13" s="100"/>
      <c r="T13" s="100"/>
    </row>
    <row r="14" spans="1:20" ht="80.25" customHeight="1" thickBot="1" x14ac:dyDescent="0.25">
      <c r="A14" s="114"/>
      <c r="B14" s="101"/>
      <c r="C14" s="101"/>
      <c r="D14" s="101"/>
      <c r="E14" s="111"/>
      <c r="F14" s="111"/>
      <c r="G14" s="111"/>
      <c r="H14" s="101"/>
      <c r="I14" s="101"/>
      <c r="J14" s="101"/>
      <c r="K14" s="101"/>
      <c r="L14" s="101"/>
      <c r="M14" s="101"/>
      <c r="N14" s="101"/>
      <c r="O14" s="101"/>
      <c r="P14" s="101"/>
      <c r="Q14" s="104"/>
      <c r="R14" s="101"/>
      <c r="S14" s="101"/>
      <c r="T14" s="101"/>
    </row>
    <row r="15" spans="1:20" x14ac:dyDescent="0.2">
      <c r="A15" s="29">
        <v>1</v>
      </c>
      <c r="B15" s="95" t="s">
        <v>22</v>
      </c>
      <c r="C15" s="73">
        <v>1190</v>
      </c>
      <c r="D15" s="74">
        <f>E15+F15+G15</f>
        <v>1946772</v>
      </c>
      <c r="E15" s="51">
        <v>1867400</v>
      </c>
      <c r="F15" s="51">
        <v>79372</v>
      </c>
      <c r="G15" s="18"/>
      <c r="H15" s="53">
        <v>3105643</v>
      </c>
      <c r="I15" s="53">
        <f>D15-H15</f>
        <v>-1158871</v>
      </c>
      <c r="J15" s="40">
        <v>0.83599999999999997</v>
      </c>
      <c r="K15" s="13">
        <v>1.111</v>
      </c>
      <c r="L15" s="13">
        <f>J15/K15</f>
        <v>0.75247524752475248</v>
      </c>
      <c r="M15" s="32"/>
      <c r="N15" s="32"/>
      <c r="O15" s="65">
        <f>(D28/C28)*(M24-L15)*K15*C15</f>
        <v>951944.33249620686</v>
      </c>
      <c r="P15" s="29"/>
      <c r="Q15" s="75">
        <f>N24*(O15/O24)</f>
        <v>112268783.20657679</v>
      </c>
      <c r="R15" s="76">
        <f>H15-D15-Q15</f>
        <v>-111109912.20657679</v>
      </c>
      <c r="S15" s="93">
        <f t="shared" ref="S15:S24" si="0">Q15+R15</f>
        <v>1158871</v>
      </c>
      <c r="T15" s="47"/>
    </row>
    <row r="16" spans="1:20" x14ac:dyDescent="0.2">
      <c r="A16" s="1">
        <v>2</v>
      </c>
      <c r="B16" s="96" t="s">
        <v>23</v>
      </c>
      <c r="C16" s="56">
        <v>1092</v>
      </c>
      <c r="D16" s="50">
        <f t="shared" ref="D16:D23" si="1">E16+F16+G16</f>
        <v>2162236</v>
      </c>
      <c r="E16" s="52">
        <v>2089400</v>
      </c>
      <c r="F16" s="52">
        <v>72836</v>
      </c>
      <c r="G16" s="20"/>
      <c r="H16" s="55">
        <v>3101761</v>
      </c>
      <c r="I16" s="54">
        <f t="shared" ref="I16:I23" si="2">D16-H16</f>
        <v>-939525</v>
      </c>
      <c r="J16" s="41">
        <v>1.002</v>
      </c>
      <c r="K16" s="14">
        <v>1.1870000000000001</v>
      </c>
      <c r="L16" s="14">
        <f t="shared" ref="L16:L23" si="3">J16/K16</f>
        <v>0.84414490311710189</v>
      </c>
      <c r="M16" s="10"/>
      <c r="N16" s="10"/>
      <c r="O16" s="63">
        <f>D28/C28*(M24-L16)*K16*C16</f>
        <v>588178.06409088068</v>
      </c>
      <c r="P16" s="1"/>
      <c r="Q16" s="49">
        <f>N24*(O16/O24)</f>
        <v>69367538.95170255</v>
      </c>
      <c r="R16" s="64">
        <f t="shared" ref="R16:R23" si="4">H16-D16-Q16</f>
        <v>-68428013.95170255</v>
      </c>
      <c r="S16" s="92">
        <f t="shared" si="0"/>
        <v>939525</v>
      </c>
      <c r="T16" s="49"/>
    </row>
    <row r="17" spans="1:20" x14ac:dyDescent="0.2">
      <c r="A17" s="1">
        <v>3</v>
      </c>
      <c r="B17" s="96" t="s">
        <v>24</v>
      </c>
      <c r="C17" s="56">
        <v>1077</v>
      </c>
      <c r="D17" s="50">
        <f t="shared" si="1"/>
        <v>1927335</v>
      </c>
      <c r="E17" s="52">
        <v>1855500</v>
      </c>
      <c r="F17" s="52">
        <v>71835</v>
      </c>
      <c r="G17" s="20"/>
      <c r="H17" s="55">
        <v>3253162</v>
      </c>
      <c r="I17" s="54">
        <f t="shared" si="2"/>
        <v>-1325827</v>
      </c>
      <c r="J17" s="41">
        <v>1.048</v>
      </c>
      <c r="K17" s="14">
        <v>0.995</v>
      </c>
      <c r="L17" s="14">
        <f t="shared" si="3"/>
        <v>1.0532663316582915</v>
      </c>
      <c r="M17" s="10"/>
      <c r="N17" s="10"/>
      <c r="O17" s="63">
        <f>D28/C28*(M24-L17)*K17*C17</f>
        <v>-164639.23557733814</v>
      </c>
      <c r="P17" s="1"/>
      <c r="Q17" s="49">
        <f>N24*(O17/O24)</f>
        <v>-19416940.69217262</v>
      </c>
      <c r="R17" s="64">
        <f t="shared" si="4"/>
        <v>20742767.69217262</v>
      </c>
      <c r="S17" s="92">
        <f>Q17+R17</f>
        <v>1325827</v>
      </c>
      <c r="T17" s="49"/>
    </row>
    <row r="18" spans="1:20" x14ac:dyDescent="0.2">
      <c r="A18" s="1">
        <v>4</v>
      </c>
      <c r="B18" s="96" t="s">
        <v>25</v>
      </c>
      <c r="C18" s="56">
        <v>958</v>
      </c>
      <c r="D18" s="50">
        <f t="shared" si="1"/>
        <v>4375899</v>
      </c>
      <c r="E18" s="52">
        <v>4312000</v>
      </c>
      <c r="F18" s="52">
        <v>63899</v>
      </c>
      <c r="G18" s="20"/>
      <c r="H18" s="55">
        <v>4375899</v>
      </c>
      <c r="I18" s="54">
        <f t="shared" si="2"/>
        <v>0</v>
      </c>
      <c r="J18" s="41">
        <v>2.2909999999999999</v>
      </c>
      <c r="K18" s="14">
        <v>1.141</v>
      </c>
      <c r="L18" s="14">
        <f t="shared" si="3"/>
        <v>2.0078878177037685</v>
      </c>
      <c r="M18" s="10"/>
      <c r="N18" s="10"/>
      <c r="O18" s="63">
        <f>D28/C28*(M24-L18)*K18*C18</f>
        <v>-3198777.0881512444</v>
      </c>
      <c r="P18" s="1"/>
      <c r="Q18" s="49">
        <f>N24*(O18/O24)</f>
        <v>-377251903.47435367</v>
      </c>
      <c r="R18" s="64">
        <f t="shared" si="4"/>
        <v>377251903.47435367</v>
      </c>
      <c r="S18" s="92">
        <f t="shared" si="0"/>
        <v>0</v>
      </c>
      <c r="T18" s="49"/>
    </row>
    <row r="19" spans="1:20" ht="15" customHeight="1" x14ac:dyDescent="0.2">
      <c r="A19" s="1">
        <v>5</v>
      </c>
      <c r="B19" s="97" t="s">
        <v>26</v>
      </c>
      <c r="C19" s="57">
        <v>1108</v>
      </c>
      <c r="D19" s="50">
        <f t="shared" si="1"/>
        <v>2837903</v>
      </c>
      <c r="E19" s="50">
        <v>2764000</v>
      </c>
      <c r="F19" s="50">
        <v>73903</v>
      </c>
      <c r="G19" s="19"/>
      <c r="H19" s="54">
        <v>3780982</v>
      </c>
      <c r="I19" s="54">
        <f t="shared" si="2"/>
        <v>-943079</v>
      </c>
      <c r="J19" s="41">
        <v>1.1659999999999999</v>
      </c>
      <c r="K19" s="14">
        <v>1.248</v>
      </c>
      <c r="L19" s="14">
        <f t="shared" si="3"/>
        <v>0.9342948717948717</v>
      </c>
      <c r="M19" s="10"/>
      <c r="N19" s="10"/>
      <c r="O19" s="63">
        <f>D28/C28*(M24-L19)*K19*C19</f>
        <v>265388.70094135538</v>
      </c>
      <c r="P19" s="1"/>
      <c r="Q19" s="49">
        <f>N24*(O19/O24)</f>
        <v>31298958.893248931</v>
      </c>
      <c r="R19" s="64">
        <f t="shared" si="4"/>
        <v>-30355879.893248931</v>
      </c>
      <c r="S19" s="92">
        <f t="shared" si="0"/>
        <v>943079</v>
      </c>
      <c r="T19" s="49"/>
    </row>
    <row r="20" spans="1:20" x14ac:dyDescent="0.2">
      <c r="A20" s="1">
        <v>6</v>
      </c>
      <c r="B20" s="96" t="s">
        <v>27</v>
      </c>
      <c r="C20" s="56">
        <v>991</v>
      </c>
      <c r="D20" s="50">
        <f t="shared" si="1"/>
        <v>1481399</v>
      </c>
      <c r="E20" s="52">
        <v>1415300</v>
      </c>
      <c r="F20" s="52">
        <v>66099</v>
      </c>
      <c r="G20" s="20"/>
      <c r="H20" s="55">
        <v>2863510</v>
      </c>
      <c r="I20" s="54">
        <f t="shared" si="2"/>
        <v>-1382111</v>
      </c>
      <c r="J20" s="41">
        <v>0.751</v>
      </c>
      <c r="K20" s="14">
        <v>1.032</v>
      </c>
      <c r="L20" s="14">
        <f t="shared" si="3"/>
        <v>0.7277131782945736</v>
      </c>
      <c r="M20" s="10"/>
      <c r="N20" s="10"/>
      <c r="O20" s="63">
        <f>D28/C28*(M24-L20)*K20*C20</f>
        <v>809939.70897564699</v>
      </c>
      <c r="P20" s="1"/>
      <c r="Q20" s="49">
        <f>N24*(O20/O24)</f>
        <v>95521284.694183677</v>
      </c>
      <c r="R20" s="64">
        <f t="shared" si="4"/>
        <v>-94139173.694183677</v>
      </c>
      <c r="S20" s="92">
        <f t="shared" si="0"/>
        <v>1382111</v>
      </c>
      <c r="T20" s="49"/>
    </row>
    <row r="21" spans="1:20" x14ac:dyDescent="0.2">
      <c r="A21" s="1">
        <v>7</v>
      </c>
      <c r="B21" s="96" t="s">
        <v>28</v>
      </c>
      <c r="C21" s="56">
        <v>801</v>
      </c>
      <c r="D21" s="50">
        <f t="shared" si="1"/>
        <v>1968326</v>
      </c>
      <c r="E21" s="52">
        <v>1914900</v>
      </c>
      <c r="F21" s="52">
        <v>53426</v>
      </c>
      <c r="G21" s="20"/>
      <c r="H21" s="55">
        <v>3223027</v>
      </c>
      <c r="I21" s="54">
        <f t="shared" si="2"/>
        <v>-1254701</v>
      </c>
      <c r="J21" s="41">
        <v>1.222</v>
      </c>
      <c r="K21" s="14">
        <v>1.284</v>
      </c>
      <c r="L21" s="14">
        <f t="shared" si="3"/>
        <v>0.95171339563862922</v>
      </c>
      <c r="M21" s="10"/>
      <c r="N21" s="10"/>
      <c r="O21" s="63">
        <f>D28/C28*(M24-L21)*K21*C21</f>
        <v>145355.9314269278</v>
      </c>
      <c r="P21" s="1"/>
      <c r="Q21" s="49">
        <f>N24*(O21/O24)</f>
        <v>17142739.334733974</v>
      </c>
      <c r="R21" s="64">
        <f t="shared" si="4"/>
        <v>-15888038.334733974</v>
      </c>
      <c r="S21" s="92">
        <f t="shared" si="0"/>
        <v>1254701</v>
      </c>
      <c r="T21" s="49"/>
    </row>
    <row r="22" spans="1:20" x14ac:dyDescent="0.2">
      <c r="A22" s="1">
        <v>8</v>
      </c>
      <c r="B22" s="96" t="s">
        <v>29</v>
      </c>
      <c r="C22" s="56">
        <v>2167</v>
      </c>
      <c r="D22" s="50">
        <f t="shared" si="1"/>
        <v>3696738</v>
      </c>
      <c r="E22" s="52">
        <v>3552200</v>
      </c>
      <c r="F22" s="52">
        <v>144538</v>
      </c>
      <c r="G22" s="20"/>
      <c r="H22" s="55">
        <v>4518512</v>
      </c>
      <c r="I22" s="54">
        <f t="shared" si="2"/>
        <v>-821774</v>
      </c>
      <c r="J22" s="41">
        <v>0.73</v>
      </c>
      <c r="K22" s="14">
        <v>1.028</v>
      </c>
      <c r="L22" s="14">
        <f t="shared" si="3"/>
        <v>0.71011673151750965</v>
      </c>
      <c r="M22" s="10"/>
      <c r="N22" s="10"/>
      <c r="O22" s="63">
        <f>D28/C28*(M24-L22)*K22*C22</f>
        <v>1878070.8816815522</v>
      </c>
      <c r="P22" s="1"/>
      <c r="Q22" s="49">
        <f>N24*(O22/O24)</f>
        <v>221492712.82407776</v>
      </c>
      <c r="R22" s="64">
        <f t="shared" si="4"/>
        <v>-220670938.82407776</v>
      </c>
      <c r="S22" s="92">
        <f t="shared" si="0"/>
        <v>821774</v>
      </c>
      <c r="T22" s="49"/>
    </row>
    <row r="23" spans="1:20" ht="13.5" thickBot="1" x14ac:dyDescent="0.25">
      <c r="A23" s="1">
        <v>9</v>
      </c>
      <c r="B23" s="96" t="s">
        <v>30</v>
      </c>
      <c r="C23" s="56">
        <v>1161</v>
      </c>
      <c r="D23" s="50">
        <f t="shared" si="1"/>
        <v>3850939</v>
      </c>
      <c r="E23" s="52">
        <v>3773500</v>
      </c>
      <c r="F23" s="52">
        <v>77439</v>
      </c>
      <c r="G23" s="20"/>
      <c r="H23" s="55">
        <v>3850939</v>
      </c>
      <c r="I23" s="54">
        <f t="shared" si="2"/>
        <v>0</v>
      </c>
      <c r="J23" s="41">
        <v>1.5680000000000001</v>
      </c>
      <c r="K23" s="14">
        <v>1.2090000000000001</v>
      </c>
      <c r="L23" s="14">
        <f t="shared" si="3"/>
        <v>1.2969396195202647</v>
      </c>
      <c r="M23" s="10"/>
      <c r="N23" s="10"/>
      <c r="O23" s="63">
        <f>D28/C28*(M24-L23)*K23*C23</f>
        <v>-1209104.3842334684</v>
      </c>
      <c r="P23" s="1"/>
      <c r="Q23" s="49">
        <f>N24*(O23/O24)</f>
        <v>-142597285.73799738</v>
      </c>
      <c r="R23" s="64">
        <f t="shared" si="4"/>
        <v>142597285.73799738</v>
      </c>
      <c r="S23" s="94">
        <f t="shared" si="0"/>
        <v>0</v>
      </c>
      <c r="T23" s="49"/>
    </row>
    <row r="24" spans="1:20" ht="26.25" customHeight="1" thickBot="1" x14ac:dyDescent="0.25">
      <c r="A24" s="33"/>
      <c r="B24" s="77" t="s">
        <v>2</v>
      </c>
      <c r="C24" s="78">
        <f t="shared" ref="C24:I24" si="5">SUM(C15:C23)</f>
        <v>10545</v>
      </c>
      <c r="D24" s="79">
        <f t="shared" si="5"/>
        <v>24247547</v>
      </c>
      <c r="E24" s="79">
        <f t="shared" si="5"/>
        <v>23544200</v>
      </c>
      <c r="F24" s="79">
        <f t="shared" si="5"/>
        <v>703347</v>
      </c>
      <c r="G24" s="80">
        <f t="shared" si="5"/>
        <v>0</v>
      </c>
      <c r="H24" s="79">
        <f t="shared" si="5"/>
        <v>32073435</v>
      </c>
      <c r="I24" s="79">
        <f t="shared" si="5"/>
        <v>-7825888</v>
      </c>
      <c r="J24" s="81">
        <v>1.1220000000000001</v>
      </c>
      <c r="K24" s="81"/>
      <c r="L24" s="81"/>
      <c r="M24" s="82">
        <f>L26</f>
        <v>1.0003714250340474</v>
      </c>
      <c r="N24" s="83">
        <f>I28*-1</f>
        <v>7825888</v>
      </c>
      <c r="O24" s="84">
        <f>SUM(O15:O23)</f>
        <v>66356.911650518887</v>
      </c>
      <c r="P24" s="85"/>
      <c r="Q24" s="84">
        <f>SUM(Q15:Q23)</f>
        <v>7825888.0000000298</v>
      </c>
      <c r="R24" s="84">
        <f>SUM(R15:R23)</f>
        <v>0</v>
      </c>
      <c r="S24" s="84">
        <f t="shared" si="0"/>
        <v>7825888.0000000298</v>
      </c>
      <c r="T24" s="61">
        <f>SUM(T15:T23)</f>
        <v>0</v>
      </c>
    </row>
    <row r="25" spans="1:20" x14ac:dyDescent="0.2">
      <c r="A25" s="29"/>
      <c r="B25" s="30"/>
      <c r="C25" s="31"/>
      <c r="D25" s="24"/>
      <c r="E25" s="24"/>
      <c r="F25" s="24"/>
      <c r="G25" s="24"/>
      <c r="H25" s="62"/>
      <c r="I25" s="62"/>
      <c r="J25" s="13"/>
      <c r="K25" s="13"/>
      <c r="L25" s="13"/>
      <c r="M25" s="32"/>
      <c r="N25" s="32"/>
      <c r="O25" s="29"/>
      <c r="P25" s="29"/>
      <c r="Q25" s="38"/>
      <c r="R25" s="62"/>
      <c r="S25" s="65"/>
      <c r="T25" s="66"/>
    </row>
    <row r="26" spans="1:20" x14ac:dyDescent="0.2">
      <c r="A26" s="1">
        <v>10</v>
      </c>
      <c r="B26" s="4" t="s">
        <v>31</v>
      </c>
      <c r="C26" s="58">
        <v>6683</v>
      </c>
      <c r="D26" s="54">
        <f>E26+F26+G26</f>
        <v>25792253</v>
      </c>
      <c r="E26" s="59">
        <v>25346500</v>
      </c>
      <c r="F26" s="59">
        <v>445753</v>
      </c>
      <c r="G26" s="16"/>
      <c r="H26" s="59">
        <v>25792253</v>
      </c>
      <c r="I26" s="54">
        <f>D26-H26</f>
        <v>0</v>
      </c>
      <c r="J26" s="14">
        <v>0.80800000000000005</v>
      </c>
      <c r="K26" s="14">
        <v>0.80769999999999997</v>
      </c>
      <c r="L26" s="14">
        <f>J26/K26</f>
        <v>1.0003714250340474</v>
      </c>
      <c r="M26" s="10"/>
      <c r="N26" s="23">
        <v>1</v>
      </c>
      <c r="O26" s="9">
        <f>D31/C31*(M27-L26)*K26*C26</f>
        <v>0</v>
      </c>
      <c r="P26" s="1"/>
      <c r="Q26" s="39">
        <f>N28*(1-P28)*(O26/O28)</f>
        <v>0</v>
      </c>
      <c r="R26" s="64">
        <f>H26-D26-Q26</f>
        <v>0</v>
      </c>
      <c r="S26" s="48"/>
      <c r="T26" s="49"/>
    </row>
    <row r="27" spans="1:20" ht="13.5" thickBot="1" x14ac:dyDescent="0.25">
      <c r="A27" s="26"/>
      <c r="B27" s="4"/>
      <c r="C27" s="58"/>
      <c r="D27" s="60"/>
      <c r="E27" s="60"/>
      <c r="F27" s="60"/>
      <c r="G27" s="16"/>
      <c r="H27" s="60"/>
      <c r="I27" s="60"/>
      <c r="J27" s="27"/>
      <c r="K27" s="27"/>
      <c r="L27" s="27"/>
      <c r="M27" s="28"/>
      <c r="N27" s="28"/>
      <c r="O27" s="26"/>
      <c r="P27" s="26"/>
      <c r="Q27" s="34"/>
      <c r="R27" s="67"/>
      <c r="S27" s="68"/>
      <c r="T27" s="66"/>
    </row>
    <row r="28" spans="1:20" ht="13.5" thickBot="1" x14ac:dyDescent="0.25">
      <c r="A28" s="33"/>
      <c r="B28" s="86" t="s">
        <v>4</v>
      </c>
      <c r="C28" s="84">
        <f>C24+C26</f>
        <v>17228</v>
      </c>
      <c r="D28" s="83">
        <f t="shared" ref="D28:I28" si="6">D24+D26</f>
        <v>50039800</v>
      </c>
      <c r="E28" s="83">
        <f t="shared" si="6"/>
        <v>48890700</v>
      </c>
      <c r="F28" s="83">
        <f t="shared" si="6"/>
        <v>1149100</v>
      </c>
      <c r="G28" s="87">
        <f t="shared" si="6"/>
        <v>0</v>
      </c>
      <c r="H28" s="83">
        <f t="shared" si="6"/>
        <v>57865688</v>
      </c>
      <c r="I28" s="83">
        <f t="shared" si="6"/>
        <v>-7825888</v>
      </c>
      <c r="J28" s="88">
        <v>1</v>
      </c>
      <c r="K28" s="88">
        <v>1</v>
      </c>
      <c r="L28" s="88"/>
      <c r="M28" s="89"/>
      <c r="N28" s="89"/>
      <c r="O28" s="90">
        <f>O24+O26</f>
        <v>66356.911650518887</v>
      </c>
      <c r="P28" s="85"/>
      <c r="Q28" s="91">
        <f>Q24</f>
        <v>7825888.0000000298</v>
      </c>
      <c r="R28" s="84">
        <f>R24</f>
        <v>0</v>
      </c>
      <c r="S28" s="84">
        <f>S24+S26</f>
        <v>7825888.0000000298</v>
      </c>
      <c r="T28" s="69"/>
    </row>
    <row r="29" spans="1:20" x14ac:dyDescent="0.2">
      <c r="A29" s="29"/>
      <c r="B29" s="35"/>
      <c r="C29" s="36"/>
      <c r="D29" s="37"/>
      <c r="E29" s="37"/>
      <c r="F29" s="37"/>
      <c r="G29" s="37"/>
      <c r="H29" s="37"/>
      <c r="I29" s="37"/>
      <c r="J29" s="13"/>
      <c r="K29" s="13"/>
      <c r="L29" s="13"/>
      <c r="M29" s="32"/>
      <c r="N29" s="32"/>
      <c r="O29" s="29"/>
      <c r="P29" s="29"/>
      <c r="Q29" s="25"/>
      <c r="R29" s="62"/>
      <c r="S29" s="65"/>
      <c r="T29" s="66"/>
    </row>
    <row r="30" spans="1:20" x14ac:dyDescent="0.2">
      <c r="A30" s="1"/>
      <c r="B30" s="3" t="s">
        <v>3</v>
      </c>
      <c r="C30" s="7"/>
      <c r="D30" s="16"/>
      <c r="E30" s="16"/>
      <c r="F30" s="16"/>
      <c r="G30" s="16"/>
      <c r="H30" s="16"/>
      <c r="I30" s="16"/>
      <c r="J30" s="14"/>
      <c r="K30" s="14"/>
      <c r="L30" s="14"/>
      <c r="M30" s="10"/>
      <c r="N30" s="10"/>
      <c r="O30" s="1"/>
      <c r="P30" s="1"/>
      <c r="Q30" s="21"/>
      <c r="R30" s="70"/>
      <c r="S30" s="71">
        <f>Q28+R28</f>
        <v>7825888.0000000298</v>
      </c>
      <c r="T30" s="72"/>
    </row>
    <row r="31" spans="1:20" ht="13.5" thickBot="1" x14ac:dyDescent="0.25">
      <c r="A31" s="2"/>
      <c r="B31" s="5" t="s">
        <v>1</v>
      </c>
      <c r="C31" s="6">
        <f>C24+C26+C30</f>
        <v>17228</v>
      </c>
      <c r="D31" s="17"/>
      <c r="E31" s="17"/>
      <c r="F31" s="17"/>
      <c r="G31" s="17"/>
      <c r="H31" s="17"/>
      <c r="I31" s="17"/>
      <c r="J31" s="15"/>
      <c r="K31" s="15"/>
      <c r="L31" s="15"/>
      <c r="M31" s="11"/>
      <c r="N31" s="11"/>
      <c r="O31" s="2"/>
      <c r="P31" s="2"/>
      <c r="Q31" s="22"/>
      <c r="R31" s="11"/>
      <c r="S31" s="2"/>
      <c r="T31" s="22"/>
    </row>
    <row r="33" spans="13:14" x14ac:dyDescent="0.2">
      <c r="M33" s="42">
        <v>0.4</v>
      </c>
      <c r="N33" s="44">
        <f>I24*0.4</f>
        <v>-3130355.2</v>
      </c>
    </row>
    <row r="34" spans="13:14" x14ac:dyDescent="0.2">
      <c r="M34" s="45">
        <v>0.5</v>
      </c>
      <c r="N34" s="46">
        <f>I24*0.5</f>
        <v>-3912944</v>
      </c>
    </row>
    <row r="35" spans="13:14" x14ac:dyDescent="0.2">
      <c r="M35" s="42">
        <v>0.6</v>
      </c>
      <c r="N35" s="43">
        <f>I24*0.6</f>
        <v>-4695532.8</v>
      </c>
    </row>
    <row r="36" spans="13:14" x14ac:dyDescent="0.2">
      <c r="M36" s="42">
        <v>0.8</v>
      </c>
      <c r="N36" s="43">
        <f>I24*0.8</f>
        <v>-6260710.4000000004</v>
      </c>
    </row>
    <row r="37" spans="13:14" x14ac:dyDescent="0.2">
      <c r="M37" s="42">
        <v>1</v>
      </c>
      <c r="N37" s="43">
        <f>I24*100/100</f>
        <v>-7825888</v>
      </c>
    </row>
  </sheetData>
  <mergeCells count="24">
    <mergeCell ref="J9:J14"/>
    <mergeCell ref="K9:K14"/>
    <mergeCell ref="E10:G10"/>
    <mergeCell ref="A9:A14"/>
    <mergeCell ref="I9:I14"/>
    <mergeCell ref="H9:H14"/>
    <mergeCell ref="E11:E14"/>
    <mergeCell ref="F11:F14"/>
    <mergeCell ref="O5:Q5"/>
    <mergeCell ref="C9:C14"/>
    <mergeCell ref="B9:B14"/>
    <mergeCell ref="P9:P14"/>
    <mergeCell ref="Q9:Q14"/>
    <mergeCell ref="D9:G9"/>
    <mergeCell ref="D10:D14"/>
    <mergeCell ref="O9:O14"/>
    <mergeCell ref="B7:T7"/>
    <mergeCell ref="R9:R14"/>
    <mergeCell ref="S9:S14"/>
    <mergeCell ref="T9:T14"/>
    <mergeCell ref="G11:G14"/>
    <mergeCell ref="M9:M14"/>
    <mergeCell ref="N9:N14"/>
    <mergeCell ref="L9:L14"/>
  </mergeCells>
  <phoneticPr fontId="1" type="noConversion"/>
  <pageMargins left="0" right="0" top="0" bottom="0" header="0" footer="0"/>
  <pageSetup paperSize="9" scale="6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T37"/>
  <sheetViews>
    <sheetView zoomScale="95" zoomScaleNormal="95" zoomScaleSheetLayoutView="100" workbookViewId="0">
      <pane xSplit="2" ySplit="14" topLeftCell="C15" activePane="bottomRight" state="frozen"/>
      <selection pane="topRight" activeCell="C1" sqref="C1"/>
      <selection pane="bottomLeft" activeCell="A14" sqref="A14"/>
      <selection pane="bottomRight" activeCell="J15" sqref="J15"/>
    </sheetView>
  </sheetViews>
  <sheetFormatPr defaultRowHeight="12.75" x14ac:dyDescent="0.2"/>
  <cols>
    <col min="1" max="1" width="3.140625" customWidth="1"/>
    <col min="2" max="2" width="19.85546875" customWidth="1"/>
    <col min="3" max="3" width="9.28515625" customWidth="1"/>
    <col min="4" max="4" width="16.140625" customWidth="1"/>
    <col min="5" max="5" width="12.85546875" customWidth="1"/>
    <col min="6" max="6" width="14.42578125" customWidth="1"/>
    <col min="7" max="7" width="5.5703125" customWidth="1"/>
    <col min="8" max="8" width="13.7109375" customWidth="1"/>
    <col min="9" max="9" width="12.140625" customWidth="1"/>
    <col min="10" max="10" width="10.42578125" customWidth="1"/>
    <col min="11" max="11" width="10.140625" customWidth="1"/>
    <col min="12" max="12" width="14" customWidth="1"/>
    <col min="13" max="13" width="10" customWidth="1"/>
    <col min="14" max="14" width="13.28515625" customWidth="1"/>
    <col min="15" max="15" width="12.42578125" customWidth="1"/>
    <col min="16" max="16" width="6.28515625" hidden="1" customWidth="1"/>
    <col min="17" max="17" width="15.28515625" customWidth="1"/>
    <col min="18" max="18" width="15.42578125" customWidth="1"/>
    <col min="19" max="19" width="14.42578125" customWidth="1"/>
    <col min="20" max="20" width="0.85546875" hidden="1" customWidth="1"/>
  </cols>
  <sheetData>
    <row r="5" spans="1:20" x14ac:dyDescent="0.2">
      <c r="O5" s="98" t="s">
        <v>20</v>
      </c>
      <c r="P5" s="98"/>
      <c r="Q5" s="98"/>
    </row>
    <row r="7" spans="1:20" ht="33.75" customHeight="1" x14ac:dyDescent="0.2">
      <c r="B7" s="108" t="s">
        <v>34</v>
      </c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</row>
    <row r="8" spans="1:20" ht="13.5" thickBot="1" x14ac:dyDescent="0.25">
      <c r="B8" s="8"/>
      <c r="C8" s="8"/>
      <c r="D8" s="8"/>
      <c r="E8" s="8"/>
      <c r="F8" s="8"/>
      <c r="G8" s="8"/>
      <c r="H8" s="8"/>
      <c r="I8" s="8"/>
      <c r="N8" s="12"/>
    </row>
    <row r="9" spans="1:20" ht="21.75" customHeight="1" thickBot="1" x14ac:dyDescent="0.25">
      <c r="A9" s="112"/>
      <c r="B9" s="99" t="s">
        <v>0</v>
      </c>
      <c r="C9" s="99" t="s">
        <v>5</v>
      </c>
      <c r="D9" s="105" t="s">
        <v>12</v>
      </c>
      <c r="E9" s="106"/>
      <c r="F9" s="106"/>
      <c r="G9" s="107"/>
      <c r="H9" s="99" t="s">
        <v>17</v>
      </c>
      <c r="I9" s="99" t="s">
        <v>19</v>
      </c>
      <c r="J9" s="99" t="s">
        <v>7</v>
      </c>
      <c r="K9" s="99" t="s">
        <v>8</v>
      </c>
      <c r="L9" s="99" t="s">
        <v>6</v>
      </c>
      <c r="M9" s="99" t="s">
        <v>11</v>
      </c>
      <c r="N9" s="99" t="s">
        <v>35</v>
      </c>
      <c r="O9" s="99" t="s">
        <v>9</v>
      </c>
      <c r="P9" s="99" t="s">
        <v>10</v>
      </c>
      <c r="Q9" s="102" t="s">
        <v>18</v>
      </c>
      <c r="R9" s="99" t="s">
        <v>21</v>
      </c>
      <c r="S9" s="99" t="s">
        <v>18</v>
      </c>
      <c r="T9" s="99" t="s">
        <v>21</v>
      </c>
    </row>
    <row r="10" spans="1:20" ht="20.25" customHeight="1" thickBot="1" x14ac:dyDescent="0.25">
      <c r="A10" s="113"/>
      <c r="B10" s="100"/>
      <c r="C10" s="100"/>
      <c r="D10" s="100" t="s">
        <v>1</v>
      </c>
      <c r="E10" s="105" t="s">
        <v>13</v>
      </c>
      <c r="F10" s="106"/>
      <c r="G10" s="107"/>
      <c r="H10" s="100"/>
      <c r="I10" s="100"/>
      <c r="J10" s="100"/>
      <c r="K10" s="100"/>
      <c r="L10" s="100"/>
      <c r="M10" s="100"/>
      <c r="N10" s="100"/>
      <c r="O10" s="100"/>
      <c r="P10" s="100"/>
      <c r="Q10" s="103"/>
      <c r="R10" s="100"/>
      <c r="S10" s="100"/>
      <c r="T10" s="100"/>
    </row>
    <row r="11" spans="1:20" ht="12.75" customHeight="1" x14ac:dyDescent="0.2">
      <c r="A11" s="113"/>
      <c r="B11" s="100"/>
      <c r="C11" s="100"/>
      <c r="D11" s="100"/>
      <c r="E11" s="109" t="s">
        <v>14</v>
      </c>
      <c r="F11" s="109" t="s">
        <v>15</v>
      </c>
      <c r="G11" s="109" t="s">
        <v>16</v>
      </c>
      <c r="H11" s="100"/>
      <c r="I11" s="100"/>
      <c r="J11" s="100"/>
      <c r="K11" s="100"/>
      <c r="L11" s="100"/>
      <c r="M11" s="100"/>
      <c r="N11" s="100"/>
      <c r="O11" s="100"/>
      <c r="P11" s="100"/>
      <c r="Q11" s="103"/>
      <c r="R11" s="100"/>
      <c r="S11" s="100"/>
      <c r="T11" s="100"/>
    </row>
    <row r="12" spans="1:20" x14ac:dyDescent="0.2">
      <c r="A12" s="113"/>
      <c r="B12" s="100"/>
      <c r="C12" s="100"/>
      <c r="D12" s="100"/>
      <c r="E12" s="110"/>
      <c r="F12" s="110"/>
      <c r="G12" s="110"/>
      <c r="H12" s="100"/>
      <c r="I12" s="100"/>
      <c r="J12" s="100"/>
      <c r="K12" s="100"/>
      <c r="L12" s="100"/>
      <c r="M12" s="100"/>
      <c r="N12" s="100"/>
      <c r="O12" s="100"/>
      <c r="P12" s="100"/>
      <c r="Q12" s="103"/>
      <c r="R12" s="100"/>
      <c r="S12" s="100"/>
      <c r="T12" s="100"/>
    </row>
    <row r="13" spans="1:20" ht="12.75" customHeight="1" x14ac:dyDescent="0.2">
      <c r="A13" s="113"/>
      <c r="B13" s="100"/>
      <c r="C13" s="100"/>
      <c r="D13" s="100"/>
      <c r="E13" s="110"/>
      <c r="F13" s="110"/>
      <c r="G13" s="110"/>
      <c r="H13" s="100"/>
      <c r="I13" s="100"/>
      <c r="J13" s="100"/>
      <c r="K13" s="100"/>
      <c r="L13" s="100"/>
      <c r="M13" s="100"/>
      <c r="N13" s="100"/>
      <c r="O13" s="100"/>
      <c r="P13" s="100"/>
      <c r="Q13" s="103"/>
      <c r="R13" s="100"/>
      <c r="S13" s="100"/>
      <c r="T13" s="100"/>
    </row>
    <row r="14" spans="1:20" ht="126.75" customHeight="1" thickBot="1" x14ac:dyDescent="0.25">
      <c r="A14" s="114"/>
      <c r="B14" s="101"/>
      <c r="C14" s="101"/>
      <c r="D14" s="101"/>
      <c r="E14" s="111"/>
      <c r="F14" s="111"/>
      <c r="G14" s="111"/>
      <c r="H14" s="101"/>
      <c r="I14" s="101"/>
      <c r="J14" s="101"/>
      <c r="K14" s="101"/>
      <c r="L14" s="101"/>
      <c r="M14" s="101"/>
      <c r="N14" s="101"/>
      <c r="O14" s="101"/>
      <c r="P14" s="101"/>
      <c r="Q14" s="104"/>
      <c r="R14" s="101"/>
      <c r="S14" s="101"/>
      <c r="T14" s="101"/>
    </row>
    <row r="15" spans="1:20" x14ac:dyDescent="0.2">
      <c r="A15" s="29">
        <v>1</v>
      </c>
      <c r="B15" s="95" t="s">
        <v>22</v>
      </c>
      <c r="C15" s="73">
        <f>'2025'!C15</f>
        <v>1190</v>
      </c>
      <c r="D15" s="74">
        <f>E15+F15+G15</f>
        <v>1994850</v>
      </c>
      <c r="E15" s="51">
        <v>1912500</v>
      </c>
      <c r="F15" s="51">
        <v>82350</v>
      </c>
      <c r="G15" s="18"/>
      <c r="H15" s="53">
        <v>3105643</v>
      </c>
      <c r="I15" s="53">
        <f>D15-H15</f>
        <v>-1110793</v>
      </c>
      <c r="J15" s="40">
        <v>0.85199999999999998</v>
      </c>
      <c r="K15" s="13">
        <v>1.1040000000000001</v>
      </c>
      <c r="L15" s="13">
        <f>J15/K15</f>
        <v>0.77173913043478248</v>
      </c>
      <c r="M15" s="32"/>
      <c r="N15" s="32"/>
      <c r="O15" s="65">
        <f>(D28/C28)*(M24-L15)*K15*C15</f>
        <v>1029261.1940298507</v>
      </c>
      <c r="P15" s="29"/>
      <c r="Q15" s="75">
        <f>N24*(O15/O24)</f>
        <v>6661200.5898273531</v>
      </c>
      <c r="R15" s="76">
        <f>H15-D15-Q15</f>
        <v>-5550407.5898273531</v>
      </c>
      <c r="S15" s="93">
        <f t="shared" ref="S15:S24" si="0">Q15+R15</f>
        <v>1110793</v>
      </c>
      <c r="T15" s="47"/>
    </row>
    <row r="16" spans="1:20" x14ac:dyDescent="0.2">
      <c r="A16" s="1">
        <v>2</v>
      </c>
      <c r="B16" s="96" t="s">
        <v>23</v>
      </c>
      <c r="C16" s="56">
        <f>'2025'!C16</f>
        <v>1092</v>
      </c>
      <c r="D16" s="50">
        <f t="shared" ref="D16:D23" si="1">E16+F16+G16</f>
        <v>2200968</v>
      </c>
      <c r="E16" s="52">
        <v>2125400</v>
      </c>
      <c r="F16" s="52">
        <v>75568</v>
      </c>
      <c r="G16" s="20"/>
      <c r="H16" s="55">
        <v>3128677</v>
      </c>
      <c r="I16" s="54">
        <f t="shared" ref="I16:I23" si="2">D16-H16</f>
        <v>-927709</v>
      </c>
      <c r="J16" s="41">
        <v>0.98499999999999999</v>
      </c>
      <c r="K16" s="14">
        <v>1.18</v>
      </c>
      <c r="L16" s="14">
        <f t="shared" ref="L16:L23" si="3">J16/K16</f>
        <v>0.8347457627118644</v>
      </c>
      <c r="M16" s="10"/>
      <c r="N16" s="10"/>
      <c r="O16" s="63">
        <f>D28/C28*(M24-L16)*K16*C16</f>
        <v>761895.46268656652</v>
      </c>
      <c r="P16" s="1"/>
      <c r="Q16" s="49">
        <f>N24*(O16/O24)</f>
        <v>4930855.7777874907</v>
      </c>
      <c r="R16" s="64">
        <f t="shared" ref="R16:R23" si="4">H16-D16-Q16</f>
        <v>-4003146.7777874907</v>
      </c>
      <c r="S16" s="92">
        <f t="shared" si="0"/>
        <v>927709</v>
      </c>
      <c r="T16" s="49"/>
    </row>
    <row r="17" spans="1:20" x14ac:dyDescent="0.2">
      <c r="A17" s="1">
        <v>3</v>
      </c>
      <c r="B17" s="96" t="s">
        <v>24</v>
      </c>
      <c r="C17" s="56">
        <f>'2025'!C17</f>
        <v>1077</v>
      </c>
      <c r="D17" s="50">
        <f t="shared" si="1"/>
        <v>1956630</v>
      </c>
      <c r="E17" s="52">
        <v>1882100</v>
      </c>
      <c r="F17" s="52">
        <v>74530</v>
      </c>
      <c r="G17" s="20"/>
      <c r="H17" s="55">
        <v>3253162</v>
      </c>
      <c r="I17" s="54">
        <f t="shared" si="2"/>
        <v>-1296532</v>
      </c>
      <c r="J17" s="41">
        <v>1.0269999999999999</v>
      </c>
      <c r="K17" s="14">
        <v>0.98399999999999999</v>
      </c>
      <c r="L17" s="14">
        <f t="shared" si="3"/>
        <v>1.0436991869918699</v>
      </c>
      <c r="M17" s="10"/>
      <c r="N17" s="10"/>
      <c r="O17" s="63">
        <f>D28/C28*(M24-L17)*K17*C17</f>
        <v>-48782.473880597536</v>
      </c>
      <c r="P17" s="1"/>
      <c r="Q17" s="49">
        <f>N24*(O17/O24)</f>
        <v>-315711.74126793077</v>
      </c>
      <c r="R17" s="64">
        <f t="shared" si="4"/>
        <v>1612243.7412679307</v>
      </c>
      <c r="S17" s="92">
        <f t="shared" si="0"/>
        <v>1296532</v>
      </c>
      <c r="T17" s="49"/>
    </row>
    <row r="18" spans="1:20" x14ac:dyDescent="0.2">
      <c r="A18" s="1">
        <v>4</v>
      </c>
      <c r="B18" s="96" t="s">
        <v>25</v>
      </c>
      <c r="C18" s="56">
        <f>'2025'!C18</f>
        <v>958</v>
      </c>
      <c r="D18" s="50">
        <f t="shared" si="1"/>
        <v>4551295</v>
      </c>
      <c r="E18" s="52">
        <v>4485000</v>
      </c>
      <c r="F18" s="52">
        <v>66295</v>
      </c>
      <c r="G18" s="20"/>
      <c r="H18" s="55">
        <v>4551295</v>
      </c>
      <c r="I18" s="54">
        <f t="shared" si="2"/>
        <v>0</v>
      </c>
      <c r="J18" s="41">
        <v>2.298</v>
      </c>
      <c r="K18" s="14">
        <v>1.131</v>
      </c>
      <c r="L18" s="14">
        <f t="shared" si="3"/>
        <v>2.0318302387267906</v>
      </c>
      <c r="M18" s="10"/>
      <c r="N18" s="10"/>
      <c r="O18" s="63">
        <f>D28/C28*(M24-L18)*K18*C18</f>
        <v>-3315320.7518656724</v>
      </c>
      <c r="P18" s="1"/>
      <c r="Q18" s="49">
        <f>N24*(O18/O24)</f>
        <v>-21456183.01349657</v>
      </c>
      <c r="R18" s="64">
        <f t="shared" si="4"/>
        <v>21456183.01349657</v>
      </c>
      <c r="S18" s="92">
        <f t="shared" si="0"/>
        <v>0</v>
      </c>
      <c r="T18" s="49"/>
    </row>
    <row r="19" spans="1:20" ht="15" customHeight="1" x14ac:dyDescent="0.2">
      <c r="A19" s="1">
        <v>5</v>
      </c>
      <c r="B19" s="97" t="s">
        <v>26</v>
      </c>
      <c r="C19" s="57">
        <f>'2025'!C19</f>
        <v>1108</v>
      </c>
      <c r="D19" s="50">
        <f t="shared" si="1"/>
        <v>2931175</v>
      </c>
      <c r="E19" s="50">
        <v>2854500</v>
      </c>
      <c r="F19" s="50">
        <v>76675</v>
      </c>
      <c r="G19" s="19"/>
      <c r="H19" s="54">
        <v>3780982</v>
      </c>
      <c r="I19" s="54">
        <f t="shared" si="2"/>
        <v>-849807</v>
      </c>
      <c r="J19" s="41">
        <v>1.1519999999999999</v>
      </c>
      <c r="K19" s="14">
        <v>1.2430000000000001</v>
      </c>
      <c r="L19" s="14">
        <f t="shared" si="3"/>
        <v>0.92679002413515676</v>
      </c>
      <c r="M19" s="10"/>
      <c r="N19" s="10"/>
      <c r="O19" s="63">
        <f>D28/C28*(M24-L19)*K19*C19</f>
        <v>427691.65199004958</v>
      </c>
      <c r="P19" s="1"/>
      <c r="Q19" s="49">
        <f>N24*(O19/O24)</f>
        <v>2767946.465897487</v>
      </c>
      <c r="R19" s="64">
        <f t="shared" si="4"/>
        <v>-1918139.465897487</v>
      </c>
      <c r="S19" s="92">
        <f t="shared" si="0"/>
        <v>849807</v>
      </c>
      <c r="T19" s="49"/>
    </row>
    <row r="20" spans="1:20" x14ac:dyDescent="0.2">
      <c r="A20" s="1">
        <v>6</v>
      </c>
      <c r="B20" s="96" t="s">
        <v>27</v>
      </c>
      <c r="C20" s="56">
        <f>'2025'!C20</f>
        <v>991</v>
      </c>
      <c r="D20" s="50">
        <f t="shared" si="1"/>
        <v>1504678</v>
      </c>
      <c r="E20" s="52">
        <v>1436100</v>
      </c>
      <c r="F20" s="52">
        <v>68578</v>
      </c>
      <c r="G20" s="20"/>
      <c r="H20" s="55">
        <v>2863510</v>
      </c>
      <c r="I20" s="54">
        <f t="shared" si="2"/>
        <v>-1358832</v>
      </c>
      <c r="J20" s="41">
        <v>0.73399999999999999</v>
      </c>
      <c r="K20" s="14">
        <v>1.0209999999999999</v>
      </c>
      <c r="L20" s="14">
        <f t="shared" si="3"/>
        <v>0.71890303623898144</v>
      </c>
      <c r="M20" s="10"/>
      <c r="N20" s="10"/>
      <c r="O20" s="63">
        <f>D28/C28*(M24-L20)*K20*C20</f>
        <v>955753.61822139227</v>
      </c>
      <c r="P20" s="1"/>
      <c r="Q20" s="49">
        <f>N24*(O20/O24)</f>
        <v>6185472.2614183435</v>
      </c>
      <c r="R20" s="64">
        <f t="shared" si="4"/>
        <v>-4826640.2614183435</v>
      </c>
      <c r="S20" s="92">
        <f t="shared" si="0"/>
        <v>1358832</v>
      </c>
      <c r="T20" s="49"/>
    </row>
    <row r="21" spans="1:20" x14ac:dyDescent="0.2">
      <c r="A21" s="1">
        <v>7</v>
      </c>
      <c r="B21" s="96" t="s">
        <v>32</v>
      </c>
      <c r="C21" s="56">
        <f>'2025'!C21</f>
        <v>801</v>
      </c>
      <c r="D21" s="50">
        <f t="shared" si="1"/>
        <v>2016030</v>
      </c>
      <c r="E21" s="52">
        <v>1960600</v>
      </c>
      <c r="F21" s="52">
        <v>55430</v>
      </c>
      <c r="G21" s="20"/>
      <c r="H21" s="55">
        <v>3233027</v>
      </c>
      <c r="I21" s="54">
        <f t="shared" si="2"/>
        <v>-1216997</v>
      </c>
      <c r="J21" s="41">
        <v>1.1990000000000001</v>
      </c>
      <c r="K21" s="14">
        <v>1.274</v>
      </c>
      <c r="L21" s="14">
        <f t="shared" si="3"/>
        <v>0.94113029827315542</v>
      </c>
      <c r="M21" s="10"/>
      <c r="N21" s="10"/>
      <c r="O21" s="63">
        <f>D28/C28*(M24-L21)*K21*C21</f>
        <v>272266.37574626814</v>
      </c>
      <c r="P21" s="1"/>
      <c r="Q21" s="49">
        <f>N24*(O21/O24)</f>
        <v>1762060.9357770057</v>
      </c>
      <c r="R21" s="64">
        <f t="shared" si="4"/>
        <v>-545063.93577700574</v>
      </c>
      <c r="S21" s="92">
        <f t="shared" si="0"/>
        <v>1216997</v>
      </c>
      <c r="T21" s="49"/>
    </row>
    <row r="22" spans="1:20" x14ac:dyDescent="0.2">
      <c r="A22" s="1">
        <v>8</v>
      </c>
      <c r="B22" s="96" t="s">
        <v>29</v>
      </c>
      <c r="C22" s="56">
        <f>'2025'!C22</f>
        <v>2167</v>
      </c>
      <c r="D22" s="50">
        <f t="shared" si="1"/>
        <v>3824859</v>
      </c>
      <c r="E22" s="52">
        <v>3674900</v>
      </c>
      <c r="F22" s="52">
        <v>149959</v>
      </c>
      <c r="G22" s="20"/>
      <c r="H22" s="55">
        <v>4538512</v>
      </c>
      <c r="I22" s="54">
        <f t="shared" si="2"/>
        <v>-713653</v>
      </c>
      <c r="J22" s="41">
        <v>0.72299999999999998</v>
      </c>
      <c r="K22" s="14">
        <v>1.026</v>
      </c>
      <c r="L22" s="14">
        <f t="shared" si="3"/>
        <v>0.70467836257309935</v>
      </c>
      <c r="M22" s="10"/>
      <c r="N22" s="10"/>
      <c r="O22" s="63">
        <f>D28/C28*(M24-L22)*K22*C22</f>
        <v>2196622.4048507456</v>
      </c>
      <c r="P22" s="1"/>
      <c r="Q22" s="49">
        <f>N24*(O22/O24)</f>
        <v>14216160.624428829</v>
      </c>
      <c r="R22" s="64">
        <f t="shared" si="4"/>
        <v>-13502507.624428829</v>
      </c>
      <c r="S22" s="92">
        <f t="shared" si="0"/>
        <v>713653</v>
      </c>
      <c r="T22" s="49"/>
    </row>
    <row r="23" spans="1:20" ht="13.5" thickBot="1" x14ac:dyDescent="0.25">
      <c r="A23" s="1">
        <v>9</v>
      </c>
      <c r="B23" s="96" t="s">
        <v>30</v>
      </c>
      <c r="C23" s="56">
        <f>'2025'!C23</f>
        <v>1161</v>
      </c>
      <c r="D23" s="50">
        <f t="shared" si="1"/>
        <v>3966143</v>
      </c>
      <c r="E23" s="52">
        <v>3885800</v>
      </c>
      <c r="F23" s="52">
        <v>80343</v>
      </c>
      <c r="G23" s="20"/>
      <c r="H23" s="55">
        <v>3966143</v>
      </c>
      <c r="I23" s="54">
        <f t="shared" si="2"/>
        <v>0</v>
      </c>
      <c r="J23" s="41">
        <v>1.556</v>
      </c>
      <c r="K23" s="14">
        <v>1.204</v>
      </c>
      <c r="L23" s="14">
        <f t="shared" si="3"/>
        <v>1.2923588039867111</v>
      </c>
      <c r="M23" s="10"/>
      <c r="N23" s="10"/>
      <c r="O23" s="63">
        <f>D28/C28*(M24-L23)*K23*C23</f>
        <v>-1124485.972388061</v>
      </c>
      <c r="P23" s="1"/>
      <c r="Q23" s="49">
        <f>N24*(O23/O24)</f>
        <v>-7277478.9003720069</v>
      </c>
      <c r="R23" s="64">
        <f t="shared" si="4"/>
        <v>7277478.9003720069</v>
      </c>
      <c r="S23" s="94">
        <f t="shared" si="0"/>
        <v>0</v>
      </c>
      <c r="T23" s="49"/>
    </row>
    <row r="24" spans="1:20" ht="26.25" customHeight="1" thickBot="1" x14ac:dyDescent="0.25">
      <c r="A24" s="33"/>
      <c r="B24" s="77" t="s">
        <v>2</v>
      </c>
      <c r="C24" s="78">
        <f>'2025'!C24</f>
        <v>10545</v>
      </c>
      <c r="D24" s="79">
        <f t="shared" ref="D24:I24" si="5">SUM(D15:D23)</f>
        <v>24946628</v>
      </c>
      <c r="E24" s="79">
        <f t="shared" si="5"/>
        <v>24216900</v>
      </c>
      <c r="F24" s="79">
        <f t="shared" si="5"/>
        <v>729728</v>
      </c>
      <c r="G24" s="80">
        <f t="shared" si="5"/>
        <v>0</v>
      </c>
      <c r="H24" s="79">
        <f t="shared" si="5"/>
        <v>32420951</v>
      </c>
      <c r="I24" s="79">
        <f t="shared" si="5"/>
        <v>-7474323</v>
      </c>
      <c r="J24" s="81">
        <v>1.1100000000000001</v>
      </c>
      <c r="K24" s="81"/>
      <c r="L24" s="81"/>
      <c r="M24" s="82">
        <f>L26</f>
        <v>1.0286069651741292</v>
      </c>
      <c r="N24" s="83">
        <f>I28*-1</f>
        <v>7474323</v>
      </c>
      <c r="O24" s="84">
        <f>SUM(O15:O23)</f>
        <v>1154901.5093905416</v>
      </c>
      <c r="P24" s="85"/>
      <c r="Q24" s="84">
        <f>SUM(Q15:Q23)</f>
        <v>7474323.0000000009</v>
      </c>
      <c r="R24" s="84">
        <f>SUM(R15:R23)</f>
        <v>0</v>
      </c>
      <c r="S24" s="84">
        <f t="shared" si="0"/>
        <v>7474323.0000000009</v>
      </c>
      <c r="T24" s="61">
        <f>SUM(T15:T23)</f>
        <v>0</v>
      </c>
    </row>
    <row r="25" spans="1:20" x14ac:dyDescent="0.2">
      <c r="A25" s="29"/>
      <c r="B25" s="30"/>
      <c r="C25" s="65">
        <f>'2025'!C25</f>
        <v>0</v>
      </c>
      <c r="D25" s="24"/>
      <c r="E25" s="24"/>
      <c r="F25" s="24"/>
      <c r="G25" s="24"/>
      <c r="H25" s="62"/>
      <c r="I25" s="62"/>
      <c r="J25" s="13"/>
      <c r="K25" s="13"/>
      <c r="L25" s="13"/>
      <c r="M25" s="32"/>
      <c r="N25" s="32"/>
      <c r="O25" s="29"/>
      <c r="P25" s="29"/>
      <c r="Q25" s="38"/>
      <c r="R25" s="62"/>
      <c r="S25" s="65"/>
      <c r="T25" s="66"/>
    </row>
    <row r="26" spans="1:20" x14ac:dyDescent="0.2">
      <c r="A26" s="1">
        <v>10</v>
      </c>
      <c r="B26" s="4" t="s">
        <v>31</v>
      </c>
      <c r="C26" s="58">
        <f>'2025'!C26</f>
        <v>6683</v>
      </c>
      <c r="D26" s="54">
        <f>E26+F26+G26</f>
        <v>27598772</v>
      </c>
      <c r="E26" s="59">
        <v>27136300</v>
      </c>
      <c r="F26" s="59">
        <v>462472</v>
      </c>
      <c r="G26" s="16"/>
      <c r="H26" s="59">
        <v>27598772</v>
      </c>
      <c r="I26" s="54">
        <f>D26-H26</f>
        <v>0</v>
      </c>
      <c r="J26" s="14">
        <v>0.82699999999999996</v>
      </c>
      <c r="K26" s="14">
        <v>0.80400000000000005</v>
      </c>
      <c r="L26" s="14">
        <f>J26/K26</f>
        <v>1.0286069651741292</v>
      </c>
      <c r="M26" s="10"/>
      <c r="N26" s="23">
        <v>1</v>
      </c>
      <c r="O26" s="9">
        <f>D31/C31*(M27-L26)*K26*C26</f>
        <v>0</v>
      </c>
      <c r="P26" s="1"/>
      <c r="Q26" s="39">
        <f>N28*(1-P28)*(O26/O28)</f>
        <v>0</v>
      </c>
      <c r="R26" s="64">
        <f>H26-D26-Q26</f>
        <v>0</v>
      </c>
      <c r="S26" s="48"/>
      <c r="T26" s="49"/>
    </row>
    <row r="27" spans="1:20" ht="13.5" thickBot="1" x14ac:dyDescent="0.25">
      <c r="A27" s="26"/>
      <c r="B27" s="4"/>
      <c r="C27" s="58">
        <f>'2025'!C27</f>
        <v>0</v>
      </c>
      <c r="D27" s="60"/>
      <c r="E27" s="60"/>
      <c r="F27" s="60"/>
      <c r="G27" s="16"/>
      <c r="H27" s="60"/>
      <c r="I27" s="60"/>
      <c r="J27" s="27"/>
      <c r="K27" s="27"/>
      <c r="L27" s="27"/>
      <c r="M27" s="28"/>
      <c r="N27" s="28"/>
      <c r="O27" s="26"/>
      <c r="P27" s="26"/>
      <c r="Q27" s="34"/>
      <c r="R27" s="67"/>
      <c r="S27" s="68"/>
      <c r="T27" s="66"/>
    </row>
    <row r="28" spans="1:20" ht="13.5" thickBot="1" x14ac:dyDescent="0.25">
      <c r="A28" s="33"/>
      <c r="B28" s="86" t="s">
        <v>4</v>
      </c>
      <c r="C28" s="84">
        <f>'2025'!C28</f>
        <v>17228</v>
      </c>
      <c r="D28" s="83">
        <f t="shared" ref="D28:I28" si="6">D24+D26</f>
        <v>52545400</v>
      </c>
      <c r="E28" s="83">
        <f t="shared" si="6"/>
        <v>51353200</v>
      </c>
      <c r="F28" s="83">
        <f t="shared" si="6"/>
        <v>1192200</v>
      </c>
      <c r="G28" s="87">
        <f t="shared" si="6"/>
        <v>0</v>
      </c>
      <c r="H28" s="83">
        <f t="shared" si="6"/>
        <v>60019723</v>
      </c>
      <c r="I28" s="83">
        <f t="shared" si="6"/>
        <v>-7474323</v>
      </c>
      <c r="J28" s="88">
        <v>1</v>
      </c>
      <c r="K28" s="88">
        <v>1</v>
      </c>
      <c r="L28" s="88"/>
      <c r="M28" s="89"/>
      <c r="N28" s="89"/>
      <c r="O28" s="90">
        <f>O24+O26</f>
        <v>1154901.5093905416</v>
      </c>
      <c r="P28" s="85"/>
      <c r="Q28" s="91">
        <f>Q24</f>
        <v>7474323.0000000009</v>
      </c>
      <c r="R28" s="84">
        <f>R24</f>
        <v>0</v>
      </c>
      <c r="S28" s="84">
        <f>S24+S26</f>
        <v>7474323.0000000009</v>
      </c>
      <c r="T28" s="69"/>
    </row>
    <row r="29" spans="1:20" x14ac:dyDescent="0.2">
      <c r="A29" s="29"/>
      <c r="B29" s="35"/>
      <c r="C29" s="36"/>
      <c r="D29" s="37"/>
      <c r="E29" s="37"/>
      <c r="F29" s="37"/>
      <c r="G29" s="37"/>
      <c r="H29" s="37"/>
      <c r="I29" s="37"/>
      <c r="J29" s="13"/>
      <c r="K29" s="13"/>
      <c r="L29" s="13"/>
      <c r="M29" s="32"/>
      <c r="N29" s="32"/>
      <c r="O29" s="29"/>
      <c r="P29" s="29"/>
      <c r="Q29" s="25"/>
      <c r="R29" s="62"/>
      <c r="S29" s="65"/>
      <c r="T29" s="66"/>
    </row>
    <row r="30" spans="1:20" x14ac:dyDescent="0.2">
      <c r="A30" s="1"/>
      <c r="B30" s="3" t="s">
        <v>3</v>
      </c>
      <c r="C30" s="7"/>
      <c r="D30" s="16"/>
      <c r="E30" s="16"/>
      <c r="F30" s="16"/>
      <c r="G30" s="16"/>
      <c r="H30" s="16"/>
      <c r="I30" s="16"/>
      <c r="J30" s="14"/>
      <c r="K30" s="14"/>
      <c r="L30" s="14"/>
      <c r="M30" s="10"/>
      <c r="N30" s="10"/>
      <c r="O30" s="1"/>
      <c r="P30" s="1"/>
      <c r="Q30" s="21"/>
      <c r="R30" s="70"/>
      <c r="S30" s="71">
        <f>Q28+R28</f>
        <v>7474323.0000000009</v>
      </c>
      <c r="T30" s="72"/>
    </row>
    <row r="31" spans="1:20" ht="13.5" thickBot="1" x14ac:dyDescent="0.25">
      <c r="A31" s="2"/>
      <c r="B31" s="5" t="s">
        <v>1</v>
      </c>
      <c r="C31" s="6">
        <f>C24+C26+C30</f>
        <v>17228</v>
      </c>
      <c r="D31" s="17"/>
      <c r="E31" s="17"/>
      <c r="F31" s="17"/>
      <c r="G31" s="17"/>
      <c r="H31" s="17"/>
      <c r="I31" s="17"/>
      <c r="J31" s="15"/>
      <c r="K31" s="15"/>
      <c r="L31" s="15"/>
      <c r="M31" s="11"/>
      <c r="N31" s="11"/>
      <c r="O31" s="2"/>
      <c r="P31" s="2"/>
      <c r="Q31" s="22"/>
      <c r="R31" s="11"/>
      <c r="S31" s="2"/>
      <c r="T31" s="22"/>
    </row>
    <row r="33" spans="13:14" x14ac:dyDescent="0.2">
      <c r="M33" s="42">
        <v>0.4</v>
      </c>
      <c r="N33" s="44">
        <f>I24*0.4</f>
        <v>-2989729.2</v>
      </c>
    </row>
    <row r="34" spans="13:14" x14ac:dyDescent="0.2">
      <c r="M34" s="45">
        <v>0.5</v>
      </c>
      <c r="N34" s="46">
        <f>I24*0.5</f>
        <v>-3737161.5</v>
      </c>
    </row>
    <row r="35" spans="13:14" x14ac:dyDescent="0.2">
      <c r="M35" s="42">
        <v>0.6</v>
      </c>
      <c r="N35" s="43">
        <f>I24*0.6</f>
        <v>-4484593.8</v>
      </c>
    </row>
    <row r="36" spans="13:14" x14ac:dyDescent="0.2">
      <c r="M36" s="42">
        <v>0.8</v>
      </c>
      <c r="N36" s="43">
        <f>I24*0.8</f>
        <v>-5979458.4000000004</v>
      </c>
    </row>
    <row r="37" spans="13:14" x14ac:dyDescent="0.2">
      <c r="M37" s="42">
        <v>1</v>
      </c>
      <c r="N37" s="43">
        <f>I24*100/100</f>
        <v>-7474323</v>
      </c>
    </row>
  </sheetData>
  <mergeCells count="24">
    <mergeCell ref="O9:O14"/>
    <mergeCell ref="P9:P14"/>
    <mergeCell ref="Q9:Q14"/>
    <mergeCell ref="F11:F14"/>
    <mergeCell ref="G11:G14"/>
    <mergeCell ref="L9:L14"/>
    <mergeCell ref="M9:M14"/>
    <mergeCell ref="N9:N14"/>
    <mergeCell ref="O5:Q5"/>
    <mergeCell ref="B7:T7"/>
    <mergeCell ref="A9:A14"/>
    <mergeCell ref="B9:B14"/>
    <mergeCell ref="C9:C14"/>
    <mergeCell ref="D9:G9"/>
    <mergeCell ref="H9:H14"/>
    <mergeCell ref="I9:I14"/>
    <mergeCell ref="J9:J14"/>
    <mergeCell ref="K9:K14"/>
    <mergeCell ref="R9:R14"/>
    <mergeCell ref="S9:S14"/>
    <mergeCell ref="T9:T14"/>
    <mergeCell ref="D10:D14"/>
    <mergeCell ref="E10:G10"/>
    <mergeCell ref="E11:E14"/>
  </mergeCells>
  <pageMargins left="0" right="0" top="0" bottom="0" header="0" footer="0"/>
  <pageSetup paperSize="9" scale="6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T37"/>
  <sheetViews>
    <sheetView view="pageBreakPreview" zoomScale="96" zoomScaleNormal="91" zoomScaleSheetLayoutView="96" workbookViewId="0">
      <pane xSplit="2" ySplit="14" topLeftCell="J18" activePane="bottomRight" state="frozen"/>
      <selection pane="topRight" activeCell="C1" sqref="C1"/>
      <selection pane="bottomLeft" activeCell="A14" sqref="A14"/>
      <selection pane="bottomRight" activeCell="H23" sqref="H23"/>
    </sheetView>
  </sheetViews>
  <sheetFormatPr defaultRowHeight="12.75" x14ac:dyDescent="0.2"/>
  <cols>
    <col min="1" max="1" width="3.140625" customWidth="1"/>
    <col min="2" max="2" width="19.85546875" customWidth="1"/>
    <col min="3" max="3" width="9.28515625" customWidth="1"/>
    <col min="4" max="4" width="13.85546875" customWidth="1"/>
    <col min="5" max="5" width="12.85546875" customWidth="1"/>
    <col min="6" max="6" width="14.42578125" customWidth="1"/>
    <col min="7" max="7" width="5.5703125" customWidth="1"/>
    <col min="8" max="8" width="13.7109375" customWidth="1"/>
    <col min="9" max="9" width="12.140625" customWidth="1"/>
    <col min="10" max="10" width="10.42578125" customWidth="1"/>
    <col min="11" max="11" width="10.140625" customWidth="1"/>
    <col min="12" max="12" width="14" customWidth="1"/>
    <col min="13" max="13" width="10" customWidth="1"/>
    <col min="14" max="14" width="11" customWidth="1"/>
    <col min="15" max="15" width="12.7109375" customWidth="1"/>
    <col min="16" max="16" width="6.28515625" hidden="1" customWidth="1"/>
    <col min="17" max="17" width="15.28515625" customWidth="1"/>
    <col min="18" max="18" width="15.42578125" customWidth="1"/>
    <col min="19" max="19" width="14.42578125" customWidth="1"/>
    <col min="20" max="20" width="0.85546875" hidden="1" customWidth="1"/>
  </cols>
  <sheetData>
    <row r="5" spans="1:20" x14ac:dyDescent="0.2">
      <c r="O5" s="98" t="s">
        <v>20</v>
      </c>
      <c r="P5" s="98"/>
      <c r="Q5" s="98"/>
    </row>
    <row r="7" spans="1:20" ht="33.75" customHeight="1" x14ac:dyDescent="0.2">
      <c r="B7" s="108" t="s">
        <v>36</v>
      </c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</row>
    <row r="8" spans="1:20" ht="13.5" thickBot="1" x14ac:dyDescent="0.25">
      <c r="B8" s="8"/>
      <c r="C8" s="8"/>
      <c r="D8" s="8"/>
      <c r="E8" s="8"/>
      <c r="F8" s="8"/>
      <c r="G8" s="8"/>
      <c r="H8" s="8"/>
      <c r="I8" s="8"/>
      <c r="N8" s="12"/>
    </row>
    <row r="9" spans="1:20" ht="21.75" customHeight="1" thickBot="1" x14ac:dyDescent="0.25">
      <c r="A9" s="112"/>
      <c r="B9" s="99" t="s">
        <v>0</v>
      </c>
      <c r="C9" s="99" t="s">
        <v>5</v>
      </c>
      <c r="D9" s="105" t="s">
        <v>12</v>
      </c>
      <c r="E9" s="106"/>
      <c r="F9" s="106"/>
      <c r="G9" s="107"/>
      <c r="H9" s="99" t="s">
        <v>17</v>
      </c>
      <c r="I9" s="99" t="s">
        <v>19</v>
      </c>
      <c r="J9" s="99" t="s">
        <v>7</v>
      </c>
      <c r="K9" s="99" t="s">
        <v>8</v>
      </c>
      <c r="L9" s="99" t="s">
        <v>6</v>
      </c>
      <c r="M9" s="99" t="s">
        <v>11</v>
      </c>
      <c r="N9" s="99" t="s">
        <v>35</v>
      </c>
      <c r="O9" s="99" t="s">
        <v>9</v>
      </c>
      <c r="P9" s="99" t="s">
        <v>10</v>
      </c>
      <c r="Q9" s="102" t="s">
        <v>18</v>
      </c>
      <c r="R9" s="99" t="s">
        <v>21</v>
      </c>
      <c r="S9" s="99" t="s">
        <v>18</v>
      </c>
      <c r="T9" s="99" t="s">
        <v>21</v>
      </c>
    </row>
    <row r="10" spans="1:20" ht="20.25" customHeight="1" thickBot="1" x14ac:dyDescent="0.25">
      <c r="A10" s="113"/>
      <c r="B10" s="100"/>
      <c r="C10" s="100"/>
      <c r="D10" s="100" t="s">
        <v>1</v>
      </c>
      <c r="E10" s="105" t="s">
        <v>13</v>
      </c>
      <c r="F10" s="106"/>
      <c r="G10" s="107"/>
      <c r="H10" s="100"/>
      <c r="I10" s="100"/>
      <c r="J10" s="100"/>
      <c r="K10" s="100"/>
      <c r="L10" s="100"/>
      <c r="M10" s="100"/>
      <c r="N10" s="100"/>
      <c r="O10" s="100"/>
      <c r="P10" s="100"/>
      <c r="Q10" s="103"/>
      <c r="R10" s="100"/>
      <c r="S10" s="100"/>
      <c r="T10" s="100"/>
    </row>
    <row r="11" spans="1:20" ht="12.75" customHeight="1" x14ac:dyDescent="0.2">
      <c r="A11" s="113"/>
      <c r="B11" s="100"/>
      <c r="C11" s="100"/>
      <c r="D11" s="100"/>
      <c r="E11" s="109" t="s">
        <v>14</v>
      </c>
      <c r="F11" s="109" t="s">
        <v>15</v>
      </c>
      <c r="G11" s="109" t="s">
        <v>16</v>
      </c>
      <c r="H11" s="100"/>
      <c r="I11" s="100"/>
      <c r="J11" s="100"/>
      <c r="K11" s="100"/>
      <c r="L11" s="100"/>
      <c r="M11" s="100"/>
      <c r="N11" s="100"/>
      <c r="O11" s="100"/>
      <c r="P11" s="100"/>
      <c r="Q11" s="103"/>
      <c r="R11" s="100"/>
      <c r="S11" s="100"/>
      <c r="T11" s="100"/>
    </row>
    <row r="12" spans="1:20" x14ac:dyDescent="0.2">
      <c r="A12" s="113"/>
      <c r="B12" s="100"/>
      <c r="C12" s="100"/>
      <c r="D12" s="100"/>
      <c r="E12" s="110"/>
      <c r="F12" s="110"/>
      <c r="G12" s="110"/>
      <c r="H12" s="100"/>
      <c r="I12" s="100"/>
      <c r="J12" s="100"/>
      <c r="K12" s="100"/>
      <c r="L12" s="100"/>
      <c r="M12" s="100"/>
      <c r="N12" s="100"/>
      <c r="O12" s="100"/>
      <c r="P12" s="100"/>
      <c r="Q12" s="103"/>
      <c r="R12" s="100"/>
      <c r="S12" s="100"/>
      <c r="T12" s="100"/>
    </row>
    <row r="13" spans="1:20" ht="12.75" customHeight="1" x14ac:dyDescent="0.2">
      <c r="A13" s="113"/>
      <c r="B13" s="100"/>
      <c r="C13" s="100"/>
      <c r="D13" s="100"/>
      <c r="E13" s="110"/>
      <c r="F13" s="110"/>
      <c r="G13" s="110"/>
      <c r="H13" s="100"/>
      <c r="I13" s="100"/>
      <c r="J13" s="100"/>
      <c r="K13" s="100"/>
      <c r="L13" s="100"/>
      <c r="M13" s="100"/>
      <c r="N13" s="100"/>
      <c r="O13" s="100"/>
      <c r="P13" s="100"/>
      <c r="Q13" s="103"/>
      <c r="R13" s="100"/>
      <c r="S13" s="100"/>
      <c r="T13" s="100"/>
    </row>
    <row r="14" spans="1:20" ht="126.75" customHeight="1" thickBot="1" x14ac:dyDescent="0.25">
      <c r="A14" s="114"/>
      <c r="B14" s="101"/>
      <c r="C14" s="101"/>
      <c r="D14" s="101"/>
      <c r="E14" s="111"/>
      <c r="F14" s="111"/>
      <c r="G14" s="111"/>
      <c r="H14" s="101"/>
      <c r="I14" s="101"/>
      <c r="J14" s="101"/>
      <c r="K14" s="101"/>
      <c r="L14" s="101"/>
      <c r="M14" s="101"/>
      <c r="N14" s="101"/>
      <c r="O14" s="101"/>
      <c r="P14" s="101"/>
      <c r="Q14" s="104"/>
      <c r="R14" s="101"/>
      <c r="S14" s="101"/>
      <c r="T14" s="101"/>
    </row>
    <row r="15" spans="1:20" x14ac:dyDescent="0.2">
      <c r="A15" s="29">
        <v>1</v>
      </c>
      <c r="B15" s="95" t="s">
        <v>22</v>
      </c>
      <c r="C15" s="73">
        <f>'2026'!C15</f>
        <v>1190</v>
      </c>
      <c r="D15" s="74">
        <f>E15+F15+G15</f>
        <v>2042421</v>
      </c>
      <c r="E15" s="51">
        <v>1956500</v>
      </c>
      <c r="F15" s="51">
        <v>85921</v>
      </c>
      <c r="G15" s="18"/>
      <c r="H15" s="53">
        <v>3105643</v>
      </c>
      <c r="I15" s="53">
        <f>D15-H15</f>
        <v>-1063222</v>
      </c>
      <c r="J15" s="40">
        <v>0.81599999999999995</v>
      </c>
      <c r="K15" s="13">
        <v>1.105</v>
      </c>
      <c r="L15" s="13">
        <f>J15/K15</f>
        <v>0.73846153846153839</v>
      </c>
      <c r="M15" s="32"/>
      <c r="N15" s="32"/>
      <c r="O15" s="65">
        <f>(D28/C28)*(M24-L15)*K15*C15</f>
        <v>5010749.3592781415</v>
      </c>
      <c r="P15" s="29"/>
      <c r="Q15" s="75">
        <f>N24*(O15/O24)</f>
        <v>2604023.4104848169</v>
      </c>
      <c r="R15" s="76">
        <f>H15-D15-Q15</f>
        <v>-1540801.4104848169</v>
      </c>
      <c r="S15" s="93">
        <f t="shared" ref="S15:S24" si="0">Q15+R15</f>
        <v>1063222</v>
      </c>
      <c r="T15" s="47"/>
    </row>
    <row r="16" spans="1:20" x14ac:dyDescent="0.2">
      <c r="A16" s="1">
        <v>2</v>
      </c>
      <c r="B16" s="96" t="s">
        <v>23</v>
      </c>
      <c r="C16" s="56">
        <f>'2026'!C16</f>
        <v>1092</v>
      </c>
      <c r="D16" s="50">
        <f t="shared" ref="D16:D23" si="1">E16+F16+G16</f>
        <v>2241245</v>
      </c>
      <c r="E16" s="52">
        <v>2162400</v>
      </c>
      <c r="F16" s="52">
        <v>78845</v>
      </c>
      <c r="G16" s="20"/>
      <c r="H16" s="55">
        <v>3128677</v>
      </c>
      <c r="I16" s="54">
        <f t="shared" ref="I16:I23" si="2">D16-H16</f>
        <v>-887432</v>
      </c>
      <c r="J16" s="41">
        <v>0.97199999999999998</v>
      </c>
      <c r="K16" s="14">
        <v>1.1819999999999999</v>
      </c>
      <c r="L16" s="14">
        <f t="shared" ref="L16:L24" si="3">J16/K16</f>
        <v>0.82233502538071068</v>
      </c>
      <c r="M16" s="10"/>
      <c r="N16" s="10"/>
      <c r="O16" s="63">
        <f>D28/C28*(M24-L16)*K16*C16</f>
        <v>4653077.6045367355</v>
      </c>
      <c r="P16" s="1"/>
      <c r="Q16" s="49">
        <f>N24*(O16/O24)</f>
        <v>2418145.898792637</v>
      </c>
      <c r="R16" s="64">
        <f t="shared" ref="R16:R23" si="4">H16-D16-Q16</f>
        <v>-1530713.898792637</v>
      </c>
      <c r="S16" s="92">
        <f t="shared" si="0"/>
        <v>887432</v>
      </c>
      <c r="T16" s="49"/>
    </row>
    <row r="17" spans="1:20" x14ac:dyDescent="0.2">
      <c r="A17" s="1">
        <v>3</v>
      </c>
      <c r="B17" s="96" t="s">
        <v>24</v>
      </c>
      <c r="C17" s="56">
        <f>'2026'!C17</f>
        <v>1077</v>
      </c>
      <c r="D17" s="50">
        <f t="shared" si="1"/>
        <v>1985462</v>
      </c>
      <c r="E17" s="52">
        <v>1907700</v>
      </c>
      <c r="F17" s="52">
        <v>77762</v>
      </c>
      <c r="G17" s="20"/>
      <c r="H17" s="55">
        <v>3253162</v>
      </c>
      <c r="I17" s="54">
        <f t="shared" si="2"/>
        <v>-1267700</v>
      </c>
      <c r="J17" s="41">
        <v>1.0089999999999999</v>
      </c>
      <c r="K17" s="14">
        <v>0.98099999999999998</v>
      </c>
      <c r="L17" s="14">
        <f t="shared" si="3"/>
        <v>1.0285423037716614</v>
      </c>
      <c r="M17" s="10"/>
      <c r="N17" s="10"/>
      <c r="O17" s="63">
        <f>D28/C28*(M24-L17)*K17*C17</f>
        <v>3274603.4091682541</v>
      </c>
      <c r="P17" s="1"/>
      <c r="Q17" s="49">
        <f>N24*(O17/O24)</f>
        <v>1701770.1996485337</v>
      </c>
      <c r="R17" s="64">
        <f t="shared" si="4"/>
        <v>-434070.19964853371</v>
      </c>
      <c r="S17" s="92">
        <f t="shared" si="0"/>
        <v>1267700</v>
      </c>
      <c r="T17" s="49"/>
    </row>
    <row r="18" spans="1:20" x14ac:dyDescent="0.2">
      <c r="A18" s="1">
        <v>4</v>
      </c>
      <c r="B18" s="96" t="s">
        <v>25</v>
      </c>
      <c r="C18" s="56">
        <f>'2026'!C18</f>
        <v>958</v>
      </c>
      <c r="D18" s="50">
        <f t="shared" si="1"/>
        <v>4731270</v>
      </c>
      <c r="E18" s="52">
        <v>4662100</v>
      </c>
      <c r="F18" s="52">
        <v>69170</v>
      </c>
      <c r="G18" s="20"/>
      <c r="H18" s="55">
        <v>4731270</v>
      </c>
      <c r="I18" s="54">
        <f t="shared" si="2"/>
        <v>0</v>
      </c>
      <c r="J18" s="41">
        <v>2.31</v>
      </c>
      <c r="K18" s="14">
        <v>1.129</v>
      </c>
      <c r="L18" s="14">
        <f t="shared" si="3"/>
        <v>2.0460584588131088</v>
      </c>
      <c r="M18" s="10"/>
      <c r="N18" s="10"/>
      <c r="O18" s="63">
        <f>D28/C28*(M24-L18)*K18*C18</f>
        <v>653929.85970592638</v>
      </c>
      <c r="P18" s="1"/>
      <c r="Q18" s="49">
        <f>N24*(O18/O24)</f>
        <v>339839.12213374017</v>
      </c>
      <c r="R18" s="64">
        <f t="shared" si="4"/>
        <v>-339839.12213374017</v>
      </c>
      <c r="S18" s="92">
        <f t="shared" si="0"/>
        <v>0</v>
      </c>
      <c r="T18" s="49"/>
    </row>
    <row r="19" spans="1:20" ht="15" customHeight="1" x14ac:dyDescent="0.2">
      <c r="A19" s="1">
        <v>5</v>
      </c>
      <c r="B19" s="97" t="s">
        <v>26</v>
      </c>
      <c r="C19" s="57">
        <f>'2026'!C19</f>
        <v>1108</v>
      </c>
      <c r="D19" s="50">
        <f t="shared" si="1"/>
        <v>3020400</v>
      </c>
      <c r="E19" s="50">
        <v>2940400</v>
      </c>
      <c r="F19" s="50">
        <v>80000</v>
      </c>
      <c r="G19" s="19"/>
      <c r="H19" s="54">
        <v>3780982</v>
      </c>
      <c r="I19" s="54">
        <f t="shared" si="2"/>
        <v>-760582</v>
      </c>
      <c r="J19" s="41">
        <v>1.1419999999999999</v>
      </c>
      <c r="K19" s="14">
        <v>1.246</v>
      </c>
      <c r="L19" s="14">
        <f t="shared" si="3"/>
        <v>0.9165329052969502</v>
      </c>
      <c r="M19" s="10"/>
      <c r="N19" s="10"/>
      <c r="O19" s="63">
        <f>D28/C28*(M24-L19)*K19*C19</f>
        <v>4658038.1882313266</v>
      </c>
      <c r="P19" s="1"/>
      <c r="Q19" s="49">
        <f>N24*(O19/O24)</f>
        <v>2420723.8517382313</v>
      </c>
      <c r="R19" s="64">
        <f t="shared" si="4"/>
        <v>-1660141.8517382313</v>
      </c>
      <c r="S19" s="92">
        <f t="shared" si="0"/>
        <v>760582</v>
      </c>
      <c r="T19" s="49"/>
    </row>
    <row r="20" spans="1:20" x14ac:dyDescent="0.2">
      <c r="A20" s="1">
        <v>6</v>
      </c>
      <c r="B20" s="96" t="s">
        <v>27</v>
      </c>
      <c r="C20" s="56">
        <f>'2026'!C20</f>
        <v>991</v>
      </c>
      <c r="D20" s="50">
        <f t="shared" si="1"/>
        <v>1527252</v>
      </c>
      <c r="E20" s="52">
        <v>1455700</v>
      </c>
      <c r="F20" s="52">
        <v>71552</v>
      </c>
      <c r="G20" s="20"/>
      <c r="H20" s="55">
        <v>2863510</v>
      </c>
      <c r="I20" s="54">
        <f t="shared" si="2"/>
        <v>-1336258</v>
      </c>
      <c r="J20" s="41">
        <v>0.72</v>
      </c>
      <c r="K20" s="14">
        <v>1.0169999999999999</v>
      </c>
      <c r="L20" s="14">
        <f t="shared" si="3"/>
        <v>0.70796460176991149</v>
      </c>
      <c r="M20" s="10"/>
      <c r="N20" s="10"/>
      <c r="O20" s="63">
        <f>D28/C28*(M24-L20)*K20*C20</f>
        <v>3915862.2831898364</v>
      </c>
      <c r="P20" s="1"/>
      <c r="Q20" s="49">
        <f>N24*(O20/O24)</f>
        <v>2035024.3699137766</v>
      </c>
      <c r="R20" s="64">
        <f t="shared" si="4"/>
        <v>-698766.36991377664</v>
      </c>
      <c r="S20" s="92">
        <f t="shared" si="0"/>
        <v>1336258</v>
      </c>
      <c r="T20" s="49"/>
    </row>
    <row r="21" spans="1:20" x14ac:dyDescent="0.2">
      <c r="A21" s="1">
        <v>7</v>
      </c>
      <c r="B21" s="96" t="s">
        <v>32</v>
      </c>
      <c r="C21" s="56">
        <f>'2026'!C21</f>
        <v>801</v>
      </c>
      <c r="D21" s="50">
        <f t="shared" si="1"/>
        <v>2064934</v>
      </c>
      <c r="E21" s="52">
        <v>2007100</v>
      </c>
      <c r="F21" s="52">
        <v>57834</v>
      </c>
      <c r="G21" s="20"/>
      <c r="H21" s="55">
        <v>3233027</v>
      </c>
      <c r="I21" s="54">
        <f t="shared" si="2"/>
        <v>-1168093</v>
      </c>
      <c r="J21" s="41">
        <v>1.181</v>
      </c>
      <c r="K21" s="14">
        <v>1.2729999999999999</v>
      </c>
      <c r="L21" s="14">
        <f t="shared" si="3"/>
        <v>0.9277297721916733</v>
      </c>
      <c r="M21" s="10"/>
      <c r="N21" s="10"/>
      <c r="O21" s="63">
        <f>D28/C28*(M24-L21)*K21*C21</f>
        <v>3412385.1900855876</v>
      </c>
      <c r="P21" s="1"/>
      <c r="Q21" s="49">
        <f>N24*(O21/O24)</f>
        <v>1773373.6579980678</v>
      </c>
      <c r="R21" s="64">
        <f t="shared" si="4"/>
        <v>-605280.65799806779</v>
      </c>
      <c r="S21" s="92">
        <f t="shared" si="0"/>
        <v>1168093</v>
      </c>
      <c r="T21" s="49"/>
    </row>
    <row r="22" spans="1:20" x14ac:dyDescent="0.2">
      <c r="A22" s="1">
        <v>8</v>
      </c>
      <c r="B22" s="96" t="s">
        <v>29</v>
      </c>
      <c r="C22" s="56">
        <f>'2026'!C22</f>
        <v>2167</v>
      </c>
      <c r="D22" s="50">
        <f t="shared" si="1"/>
        <v>3946062</v>
      </c>
      <c r="E22" s="52">
        <v>3789600</v>
      </c>
      <c r="F22" s="52">
        <v>156462</v>
      </c>
      <c r="G22" s="20"/>
      <c r="H22" s="55">
        <v>4538512</v>
      </c>
      <c r="I22" s="54">
        <f t="shared" si="2"/>
        <v>-592450</v>
      </c>
      <c r="J22" s="41">
        <v>0.71699999999999997</v>
      </c>
      <c r="K22" s="14">
        <v>1.0309999999999999</v>
      </c>
      <c r="L22" s="14">
        <f t="shared" si="3"/>
        <v>0.69544131910766249</v>
      </c>
      <c r="M22" s="10"/>
      <c r="N22" s="10"/>
      <c r="O22" s="63">
        <f>D28/C28*(M24-L22)*K22*C22</f>
        <v>8749212.7896288596</v>
      </c>
      <c r="P22" s="1"/>
      <c r="Q22" s="49">
        <f>N24*(O22/O24)</f>
        <v>4546855.8281248594</v>
      </c>
      <c r="R22" s="64">
        <f t="shared" si="4"/>
        <v>-3954405.8281248594</v>
      </c>
      <c r="S22" s="92">
        <f t="shared" si="0"/>
        <v>592450</v>
      </c>
      <c r="T22" s="49"/>
    </row>
    <row r="23" spans="1:20" ht="13.5" thickBot="1" x14ac:dyDescent="0.25">
      <c r="A23" s="1">
        <v>9</v>
      </c>
      <c r="B23" s="96" t="s">
        <v>30</v>
      </c>
      <c r="C23" s="56">
        <f>'2026'!C23</f>
        <v>1161</v>
      </c>
      <c r="D23" s="50">
        <f t="shared" si="1"/>
        <v>4083027</v>
      </c>
      <c r="E23" s="52">
        <v>3999200</v>
      </c>
      <c r="F23" s="52">
        <v>83827</v>
      </c>
      <c r="G23" s="20"/>
      <c r="H23" s="55">
        <v>4083027</v>
      </c>
      <c r="I23" s="54">
        <f t="shared" si="2"/>
        <v>0</v>
      </c>
      <c r="J23" s="41">
        <v>1.55</v>
      </c>
      <c r="K23" s="14">
        <v>1.2070000000000001</v>
      </c>
      <c r="L23" s="14">
        <f t="shared" si="3"/>
        <v>1.284175642087821</v>
      </c>
      <c r="M23" s="10"/>
      <c r="N23" s="10"/>
      <c r="O23" s="63">
        <f>D28/C28*(M24-L23)*K23*C23</f>
        <v>3464930.243280292</v>
      </c>
      <c r="P23" s="1"/>
      <c r="Q23" s="49">
        <f>N24*(O23/O24)</f>
        <v>1800680.6611653334</v>
      </c>
      <c r="R23" s="64">
        <f t="shared" si="4"/>
        <v>-1800680.6611653334</v>
      </c>
      <c r="S23" s="94">
        <f t="shared" si="0"/>
        <v>0</v>
      </c>
      <c r="T23" s="49"/>
    </row>
    <row r="24" spans="1:20" ht="26.25" customHeight="1" thickBot="1" x14ac:dyDescent="0.25">
      <c r="A24" s="33"/>
      <c r="B24" s="77" t="s">
        <v>2</v>
      </c>
      <c r="C24" s="78">
        <f>'2026'!C24</f>
        <v>10545</v>
      </c>
      <c r="D24" s="79">
        <f t="shared" ref="D24:I24" si="5">SUM(D15:D23)</f>
        <v>25642073</v>
      </c>
      <c r="E24" s="79">
        <f t="shared" si="5"/>
        <v>24880700</v>
      </c>
      <c r="F24" s="79">
        <f t="shared" si="5"/>
        <v>761373</v>
      </c>
      <c r="G24" s="80">
        <f t="shared" si="5"/>
        <v>0</v>
      </c>
      <c r="H24" s="79">
        <f t="shared" si="5"/>
        <v>32717810</v>
      </c>
      <c r="I24" s="79">
        <f t="shared" si="5"/>
        <v>-7075737</v>
      </c>
      <c r="J24" s="81">
        <v>1.101</v>
      </c>
      <c r="K24" s="81">
        <v>0.86799999999999999</v>
      </c>
      <c r="L24" s="81">
        <f t="shared" si="3"/>
        <v>1.2684331797235022</v>
      </c>
      <c r="M24" s="82">
        <f>L26</f>
        <v>2.2926525529265254</v>
      </c>
      <c r="N24" s="83">
        <f>I28*-1</f>
        <v>19640437</v>
      </c>
      <c r="O24" s="84">
        <f>SUM(O15:O23)</f>
        <v>37792788.927104965</v>
      </c>
      <c r="P24" s="85"/>
      <c r="Q24" s="84">
        <f>SUM(Q15:Q23)</f>
        <v>19640437</v>
      </c>
      <c r="R24" s="84">
        <f>SUM(R15:R23)</f>
        <v>-12564699.999999996</v>
      </c>
      <c r="S24" s="84">
        <f t="shared" si="0"/>
        <v>7075737.0000000037</v>
      </c>
      <c r="T24" s="61">
        <f>SUM(T15:T23)</f>
        <v>0</v>
      </c>
    </row>
    <row r="25" spans="1:20" x14ac:dyDescent="0.2">
      <c r="A25" s="29"/>
      <c r="B25" s="30"/>
      <c r="C25" s="65">
        <f>'2026'!C25</f>
        <v>0</v>
      </c>
      <c r="D25" s="24"/>
      <c r="E25" s="24"/>
      <c r="F25" s="24"/>
      <c r="G25" s="24"/>
      <c r="H25" s="62"/>
      <c r="I25" s="62"/>
      <c r="J25" s="13"/>
      <c r="K25" s="13"/>
      <c r="L25" s="13"/>
      <c r="M25" s="32"/>
      <c r="N25" s="32"/>
      <c r="O25" s="29"/>
      <c r="P25" s="29"/>
      <c r="Q25" s="38"/>
      <c r="R25" s="62"/>
      <c r="S25" s="65"/>
      <c r="T25" s="66"/>
    </row>
    <row r="26" spans="1:20" x14ac:dyDescent="0.2">
      <c r="A26" s="1">
        <v>10</v>
      </c>
      <c r="B26" s="4" t="s">
        <v>31</v>
      </c>
      <c r="C26" s="58">
        <f>'2026'!C26</f>
        <v>6683</v>
      </c>
      <c r="D26" s="54">
        <f>E26+F26+G26</f>
        <v>16597927</v>
      </c>
      <c r="E26" s="59">
        <v>16115400</v>
      </c>
      <c r="F26" s="59">
        <v>482527</v>
      </c>
      <c r="G26" s="16"/>
      <c r="H26" s="59">
        <v>29162627</v>
      </c>
      <c r="I26" s="54">
        <f>D26-H26</f>
        <v>-12564700</v>
      </c>
      <c r="J26" s="14">
        <v>1.841</v>
      </c>
      <c r="K26" s="14">
        <v>0.80300000000000005</v>
      </c>
      <c r="L26" s="14">
        <f>J26/K26</f>
        <v>2.2926525529265254</v>
      </c>
      <c r="M26" s="10"/>
      <c r="N26" s="23">
        <v>1</v>
      </c>
      <c r="O26" s="9">
        <f>D31/C31*(M27-L26)*K26*C26</f>
        <v>0</v>
      </c>
      <c r="P26" s="1"/>
      <c r="Q26" s="39">
        <f>N28*(1-P28)*(O26/O28)</f>
        <v>0</v>
      </c>
      <c r="R26" s="64">
        <f>H26-D26-Q26</f>
        <v>12564700</v>
      </c>
      <c r="S26" s="48"/>
      <c r="T26" s="49"/>
    </row>
    <row r="27" spans="1:20" ht="13.5" thickBot="1" x14ac:dyDescent="0.25">
      <c r="A27" s="26"/>
      <c r="B27" s="4"/>
      <c r="C27" s="58">
        <f>'2026'!C27</f>
        <v>0</v>
      </c>
      <c r="D27" s="60"/>
      <c r="E27" s="60"/>
      <c r="F27" s="60"/>
      <c r="G27" s="16"/>
      <c r="H27" s="60"/>
      <c r="I27" s="60"/>
      <c r="J27" s="27"/>
      <c r="K27" s="27"/>
      <c r="L27" s="27"/>
      <c r="M27" s="28"/>
      <c r="N27" s="28"/>
      <c r="O27" s="26"/>
      <c r="P27" s="26"/>
      <c r="Q27" s="34"/>
      <c r="R27" s="67"/>
      <c r="S27" s="68"/>
      <c r="T27" s="66"/>
    </row>
    <row r="28" spans="1:20" ht="13.5" thickBot="1" x14ac:dyDescent="0.25">
      <c r="A28" s="33"/>
      <c r="B28" s="86" t="s">
        <v>4</v>
      </c>
      <c r="C28" s="84">
        <f>'2026'!C28</f>
        <v>17228</v>
      </c>
      <c r="D28" s="83">
        <f t="shared" ref="D28:I28" si="6">D24+D26</f>
        <v>42240000</v>
      </c>
      <c r="E28" s="83">
        <f t="shared" si="6"/>
        <v>40996100</v>
      </c>
      <c r="F28" s="83">
        <f t="shared" si="6"/>
        <v>1243900</v>
      </c>
      <c r="G28" s="87">
        <f t="shared" si="6"/>
        <v>0</v>
      </c>
      <c r="H28" s="83">
        <f t="shared" si="6"/>
        <v>61880437</v>
      </c>
      <c r="I28" s="83">
        <f t="shared" si="6"/>
        <v>-19640437</v>
      </c>
      <c r="J28" s="88">
        <v>1</v>
      </c>
      <c r="K28" s="88">
        <v>1</v>
      </c>
      <c r="L28" s="88"/>
      <c r="M28" s="89"/>
      <c r="N28" s="89"/>
      <c r="O28" s="90">
        <f>O24+O26</f>
        <v>37792788.927104965</v>
      </c>
      <c r="P28" s="85"/>
      <c r="Q28" s="91">
        <f>Q24</f>
        <v>19640437</v>
      </c>
      <c r="R28" s="84">
        <f>R24</f>
        <v>-12564699.999999996</v>
      </c>
      <c r="S28" s="84">
        <f>S24+S26</f>
        <v>7075737.0000000037</v>
      </c>
      <c r="T28" s="69"/>
    </row>
    <row r="29" spans="1:20" x14ac:dyDescent="0.2">
      <c r="A29" s="29"/>
      <c r="B29" s="35"/>
      <c r="C29" s="36"/>
      <c r="D29" s="37"/>
      <c r="E29" s="37"/>
      <c r="F29" s="37"/>
      <c r="G29" s="37"/>
      <c r="H29" s="37"/>
      <c r="I29" s="37"/>
      <c r="J29" s="13"/>
      <c r="K29" s="13"/>
      <c r="L29" s="13"/>
      <c r="M29" s="32"/>
      <c r="N29" s="32"/>
      <c r="O29" s="29"/>
      <c r="P29" s="29"/>
      <c r="Q29" s="25"/>
      <c r="R29" s="62"/>
      <c r="S29" s="65"/>
      <c r="T29" s="66"/>
    </row>
    <row r="30" spans="1:20" x14ac:dyDescent="0.2">
      <c r="A30" s="1"/>
      <c r="B30" s="3" t="s">
        <v>3</v>
      </c>
      <c r="C30" s="7"/>
      <c r="D30" s="16"/>
      <c r="E30" s="16"/>
      <c r="F30" s="16"/>
      <c r="G30" s="16"/>
      <c r="H30" s="16"/>
      <c r="I30" s="16"/>
      <c r="J30" s="14"/>
      <c r="K30" s="14"/>
      <c r="L30" s="14"/>
      <c r="M30" s="10"/>
      <c r="N30" s="10"/>
      <c r="O30" s="1"/>
      <c r="P30" s="1"/>
      <c r="Q30" s="21"/>
      <c r="R30" s="70"/>
      <c r="S30" s="71">
        <f>Q28+R28</f>
        <v>7075737.0000000037</v>
      </c>
      <c r="T30" s="72"/>
    </row>
    <row r="31" spans="1:20" ht="13.5" thickBot="1" x14ac:dyDescent="0.25">
      <c r="A31" s="2"/>
      <c r="B31" s="5" t="s">
        <v>1</v>
      </c>
      <c r="C31" s="6">
        <f>C24+C26+C30</f>
        <v>17228</v>
      </c>
      <c r="D31" s="17"/>
      <c r="E31" s="17"/>
      <c r="F31" s="17"/>
      <c r="G31" s="17"/>
      <c r="H31" s="17"/>
      <c r="I31" s="17"/>
      <c r="J31" s="15"/>
      <c r="K31" s="15"/>
      <c r="L31" s="15"/>
      <c r="M31" s="11"/>
      <c r="N31" s="11"/>
      <c r="O31" s="2"/>
      <c r="P31" s="2"/>
      <c r="Q31" s="22"/>
      <c r="R31" s="11"/>
      <c r="S31" s="2"/>
      <c r="T31" s="22"/>
    </row>
    <row r="33" spans="13:14" x14ac:dyDescent="0.2">
      <c r="M33" s="42">
        <v>0.4</v>
      </c>
      <c r="N33" s="44">
        <f>I24*0.4</f>
        <v>-2830294.8000000003</v>
      </c>
    </row>
    <row r="34" spans="13:14" x14ac:dyDescent="0.2">
      <c r="M34" s="45">
        <v>0.5</v>
      </c>
      <c r="N34" s="46">
        <f>I24*0.5</f>
        <v>-3537868.5</v>
      </c>
    </row>
    <row r="35" spans="13:14" x14ac:dyDescent="0.2">
      <c r="M35" s="42">
        <v>0.6</v>
      </c>
      <c r="N35" s="43">
        <f>I24*0.6</f>
        <v>-4245442.2</v>
      </c>
    </row>
    <row r="36" spans="13:14" x14ac:dyDescent="0.2">
      <c r="M36" s="42">
        <v>0.8</v>
      </c>
      <c r="N36" s="43">
        <f>I24*0.8</f>
        <v>-5660589.6000000006</v>
      </c>
    </row>
    <row r="37" spans="13:14" x14ac:dyDescent="0.2">
      <c r="M37" s="42">
        <v>1</v>
      </c>
      <c r="N37" s="43">
        <f>I24*100/100</f>
        <v>-7075737</v>
      </c>
    </row>
  </sheetData>
  <mergeCells count="24">
    <mergeCell ref="O9:O14"/>
    <mergeCell ref="P9:P14"/>
    <mergeCell ref="Q9:Q14"/>
    <mergeCell ref="O5:Q5"/>
    <mergeCell ref="B7:T7"/>
    <mergeCell ref="J9:J14"/>
    <mergeCell ref="K9:K14"/>
    <mergeCell ref="R9:R14"/>
    <mergeCell ref="S9:S14"/>
    <mergeCell ref="I9:I14"/>
    <mergeCell ref="T9:T14"/>
    <mergeCell ref="D10:D14"/>
    <mergeCell ref="E10:G10"/>
    <mergeCell ref="E11:E14"/>
    <mergeCell ref="F11:F14"/>
    <mergeCell ref="G11:G14"/>
    <mergeCell ref="L9:L14"/>
    <mergeCell ref="M9:M14"/>
    <mergeCell ref="N9:N14"/>
    <mergeCell ref="A9:A14"/>
    <mergeCell ref="B9:B14"/>
    <mergeCell ref="C9:C14"/>
    <mergeCell ref="D9:G9"/>
    <mergeCell ref="H9:H14"/>
  </mergeCells>
  <pageMargins left="0" right="0" top="0" bottom="0" header="0" footer="0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2025</vt:lpstr>
      <vt:lpstr>2026</vt:lpstr>
      <vt:lpstr>2027</vt:lpstr>
      <vt:lpstr>'2025'!Область_печати</vt:lpstr>
      <vt:lpstr>'2026'!Область_печати</vt:lpstr>
      <vt:lpstr>'2027'!Область_печати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2024-11-13T05:07:11Z</cp:lastPrinted>
  <dcterms:created xsi:type="dcterms:W3CDTF">2007-07-03T11:04:27Z</dcterms:created>
  <dcterms:modified xsi:type="dcterms:W3CDTF">2024-11-13T05:09:49Z</dcterms:modified>
</cp:coreProperties>
</file>